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0" windowWidth="12120" windowHeight="3855" tabRatio="658" activeTab="0"/>
  </bookViews>
  <sheets>
    <sheet name="CALCULADORA TIS PESOS H-1" sheetId="1" r:id="rId1"/>
    <sheet name="Características" sheetId="2" state="hidden" r:id="rId2"/>
    <sheet name="Flujos" sheetId="3" r:id="rId3"/>
    <sheet name="Tablas" sheetId="4" state="hidden" r:id="rId4"/>
    <sheet name="Tabla de Amortizacion" sheetId="5" state="hidden" r:id="rId5"/>
    <sheet name="Exclusión" sheetId="6" r:id="rId6"/>
  </sheets>
  <definedNames>
    <definedName name="_xlfn.SINGLE" hidden="1">#NAME?</definedName>
  </definedNames>
  <calcPr fullCalcOnLoad="1"/>
</workbook>
</file>

<file path=xl/sharedStrings.xml><?xml version="1.0" encoding="utf-8"?>
<sst xmlns="http://schemas.openxmlformats.org/spreadsheetml/2006/main" count="102" uniqueCount="86">
  <si>
    <t>FECHA</t>
  </si>
  <si>
    <t>Tabla de Amortización Valoración</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</si>
  <si>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</si>
  <si>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</si>
  <si>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</si>
  <si>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</si>
  <si>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</si>
  <si>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</si>
  <si>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</si>
  <si>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</si>
  <si>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</si>
  <si>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</si>
  <si>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</si>
  <si>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</si>
  <si>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</si>
  <si>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</si>
  <si>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</si>
  <si>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COP</t>
  </si>
  <si>
    <t>Control</t>
  </si>
  <si>
    <t>Mes inicial</t>
  </si>
  <si>
    <t>Contractual</t>
  </si>
  <si>
    <t>Valoración</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</si>
  <si>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</si>
  <si>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</si>
  <si>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</si>
  <si>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</si>
  <si>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</si>
  <si>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</si>
  <si>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</si>
  <si>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</si>
  <si>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</si>
  <si>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</si>
  <si>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</si>
  <si>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</si>
  <si>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</si>
  <si>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</si>
  <si>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</si>
  <si>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</si>
  <si>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6% (Medio)</t>
  </si>
  <si>
    <t>10% (Medio Alto)</t>
  </si>
  <si>
    <t>14% (Alto)</t>
  </si>
  <si>
    <t>Escenario de Amortización Contractual</t>
  </si>
  <si>
    <t>Escenario de Prepago  6% (Medio)</t>
  </si>
  <si>
    <t>Escenario de Prepago  10% (Medio Alto)</t>
  </si>
  <si>
    <t>Escenario de Prepago  14% (Alto)</t>
  </si>
  <si>
    <t>Escenario de Prepago  20%</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</si>
  <si>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</si>
  <si>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</si>
  <si>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</si>
  <si>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</si>
  <si>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Fecha / Date</t>
  </si>
  <si>
    <t>Días 365 / Days 365</t>
  </si>
  <si>
    <t>Amortización / Amortization</t>
  </si>
  <si>
    <t>Saldo / Balance</t>
  </si>
  <si>
    <t>Flujo de Capital / Principal Flow</t>
  </si>
  <si>
    <t>Flujo de Intereses / Interest Flow</t>
  </si>
  <si>
    <t>Flujo Total /       Total Flow</t>
  </si>
  <si>
    <t>Serie Seleccionada  / Selected Tranche</t>
  </si>
  <si>
    <t xml:space="preserve">Fecha de liquidación / Settlement Date </t>
  </si>
  <si>
    <t xml:space="preserve">Características / Characteristics </t>
  </si>
  <si>
    <t>Cálculo de precio y rentabilidad / Price and Yield Calculation</t>
  </si>
  <si>
    <t xml:space="preserve">Nemotécnico MEC </t>
  </si>
  <si>
    <t>Fecha de Emisión / Issue Date</t>
  </si>
  <si>
    <t>Vencimiento Contractual / Contractual Maturity Date</t>
  </si>
  <si>
    <t>Tasa Facial Efectiva Anual / Effective Coupon Rate</t>
  </si>
  <si>
    <t xml:space="preserve">Tasa Facial Nominal Anual / Nominal Coupon Rate </t>
  </si>
  <si>
    <t>Moneda / Currency</t>
  </si>
  <si>
    <t xml:space="preserve">Vida Media Restante / Average Life </t>
  </si>
  <si>
    <t>Vida Media desde Emisión / Average Life since Issue</t>
  </si>
  <si>
    <t xml:space="preserve">Duración Macaulay / Macaulay Duration </t>
  </si>
  <si>
    <t xml:space="preserve">Duración Modificada / Modified Duration </t>
  </si>
  <si>
    <t>Nominal Inicial / Nominal Initial Value</t>
  </si>
  <si>
    <t>Escenario de Prepagos / Prepayment Scenario</t>
  </si>
  <si>
    <t>Tasa de Descuento EA / Discount Rate EA</t>
  </si>
  <si>
    <t xml:space="preserve">Precio Limpio / Clean Price </t>
  </si>
  <si>
    <t xml:space="preserve">Precio Sucio / Dirty Price </t>
  </si>
  <si>
    <t>Vencimiento Estimado / Estimated Maturity</t>
  </si>
  <si>
    <t>Restante por 100 de Inicial / Outstanding Amount for 100 Initial Amount</t>
  </si>
  <si>
    <t>Nominal Restante a transar / Nominal Amount Outstanding to Trade</t>
  </si>
  <si>
    <t>Contravalor (Valoración) / Market Value (Valuation)</t>
  </si>
  <si>
    <t xml:space="preserve">Celdas modificables / Modifiable Cells </t>
  </si>
  <si>
    <t>Exclusión de responsabilidad / Disclaimer</t>
  </si>
  <si>
    <t>CALCULADORA DE PRECIOS TIS PESOS H-1 / PRICE CALCULATOR TIS PESOS H-1</t>
  </si>
  <si>
    <t>TIS Pesos H-1 A 2026</t>
  </si>
  <si>
    <t>20%_</t>
  </si>
  <si>
    <t>TISAS1071226</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</si>
</sst>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 #,##0_ ;_ * \-#,##0_ ;_ * &quot;-&quot;_ ;_ @_ "/>
    <numFmt numFmtId="171" formatCode="_ * #,##0.00_ ;_ * \-#,##0.00_ ;_ * &quot;-&quot;??_ ;_ @_ "/>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0.00000%"/>
    <numFmt numFmtId="177" formatCode="0.000%"/>
    <numFmt numFmtId="178" formatCode="_ * #,##0_ ;_ * \-#,##0_ ;_ * &quot;-&quot;??_ ;_ @_ "/>
    <numFmt numFmtId="179" formatCode="0.000000000%"/>
    <numFmt numFmtId="180" formatCode="0.0000000%"/>
    <numFmt numFmtId="181" formatCode="#,##0.000000_ ;\-#,##0.000000\ "/>
    <numFmt numFmtId="182" formatCode="#,##0.000_ ;\-#,##0.000\ "/>
    <numFmt numFmtId="183" formatCode="_-* #,##0\ _p_t_a_-;\-* #,##0\ _p_t_a_-;_-* &quot;-&quot;??\ _p_t_a_-;_-@_-"/>
    <numFmt numFmtId="184" formatCode="0.000000%"/>
    <numFmt numFmtId="185" formatCode="_ * #,##0.000_ ;_ * \-#,##0.000_ ;_ * &quot;-&quot;??_ ;_ @_ "/>
    <numFmt numFmtId="186" formatCode="_ * #,##0.0000_ ;_ * \-#,##0.0000_ ;_ * &quot;-&quot;??_ ;_ @_ "/>
    <numFmt numFmtId="187" formatCode="_ * #,##0.00000_ ;_ * \-#,##0.00000_ ;_ * &quot;-&quot;??_ ;_ @_ "/>
    <numFmt numFmtId="188" formatCode="_ * #,##0.000000_ ;_ * \-#,##0.000000_ ;_ * &quot;-&quot;??_ ;_ @_ "/>
    <numFmt numFmtId="189" formatCode="#,##0_ ;\-#,##0\ "/>
    <numFmt numFmtId="190" formatCode="_ * #,##0.0000_ ;_ * \-#,##0.0000_ ;_ * &quot;-&quot;????_ ;_ @_ "/>
    <numFmt numFmtId="191" formatCode="0.000000000000%"/>
    <numFmt numFmtId="192" formatCode="0.0000000000000%"/>
    <numFmt numFmtId="193" formatCode="_ &quot;$&quot;\ * #,##0.00_ ;_ &quot;$&quot;\ * \-#,##0.00_ ;_ &quot;$&quot;\ * &quot;-&quot;??_ ;_ @_ "/>
    <numFmt numFmtId="194" formatCode="_ [$€-2]\ * #,##0.00_ ;_ [$€-2]\ * \-#,##0.00_ ;_ [$€-2]\ * &quot;-&quot;??_ "/>
    <numFmt numFmtId="195" formatCode="_-* #,##0.000000\ _€_-;\-* #,##0.000000\ _€_-;_-* &quot;-&quot;??????\ _€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0%"/>
  </numFmts>
  <fonts count="5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Tahoma"/>
      <family val="2"/>
    </font>
    <font>
      <sz val="10"/>
      <name val="Tahoma"/>
      <family val="2"/>
    </font>
    <font>
      <b/>
      <sz val="10"/>
      <color indexed="18"/>
      <name val="Tahoma"/>
      <family val="2"/>
    </font>
    <font>
      <sz val="10"/>
      <color indexed="18"/>
      <name val="Tahoma"/>
      <family val="2"/>
    </font>
    <font>
      <b/>
      <sz val="10"/>
      <color indexed="8"/>
      <name val="Tahoma"/>
      <family val="2"/>
    </font>
    <font>
      <b/>
      <sz val="10"/>
      <color indexed="10"/>
      <name val="Tahoma"/>
      <family val="2"/>
    </font>
    <font>
      <sz val="10"/>
      <color indexed="10"/>
      <name val="Tahoma"/>
      <family val="2"/>
    </font>
    <font>
      <b/>
      <sz val="8"/>
      <name val="Arial"/>
      <family val="2"/>
    </font>
    <font>
      <b/>
      <sz val="8"/>
      <color indexed="32"/>
      <name val="Arial"/>
      <family val="2"/>
    </font>
    <font>
      <b/>
      <sz val="8"/>
      <color indexed="10"/>
      <name val="Arial"/>
      <family val="2"/>
    </font>
    <font>
      <sz val="12"/>
      <color indexed="18"/>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Tahoma"/>
      <family val="2"/>
    </font>
    <font>
      <b/>
      <sz val="10"/>
      <color rgb="FF000066"/>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rgb="FF00FF00"/>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FFFFFF"/>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medium"/>
      <right style="medium"/>
      <top style="medium"/>
      <bottom>
        <color indexed="63"/>
      </bottom>
    </border>
    <border>
      <left style="medium"/>
      <right style="medium"/>
      <top style="medium"/>
      <bottom style="mediu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color indexed="63"/>
      </botto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0" fillId="0" borderId="0" applyNumberFormat="0" applyFill="0" applyBorder="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22">
    <xf numFmtId="0" fontId="0" fillId="0" borderId="0" xfId="0" applyAlignment="1">
      <alignment/>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3" xfId="0" applyFont="1" applyFill="1" applyBorder="1" applyAlignment="1" applyProtection="1">
      <alignment/>
      <protection hidden="1"/>
    </xf>
    <xf numFmtId="14" fontId="0" fillId="0" borderId="11" xfId="0" applyNumberFormat="1" applyFont="1" applyFill="1" applyBorder="1" applyAlignment="1" applyProtection="1">
      <alignment/>
      <protection hidden="1"/>
    </xf>
    <xf numFmtId="188" fontId="0" fillId="0" borderId="11" xfId="51" applyNumberFormat="1" applyFont="1" applyFill="1" applyBorder="1" applyAlignment="1" applyProtection="1">
      <alignment horizontal="right"/>
      <protection hidden="1"/>
    </xf>
    <xf numFmtId="178" fontId="0" fillId="0" borderId="11" xfId="51" applyNumberFormat="1" applyFont="1" applyFill="1" applyBorder="1" applyAlignment="1" applyProtection="1">
      <alignment horizontal="right"/>
      <protection hidden="1"/>
    </xf>
    <xf numFmtId="186" fontId="0" fillId="0" borderId="11" xfId="51" applyNumberFormat="1" applyFont="1" applyFill="1" applyBorder="1" applyAlignment="1" applyProtection="1">
      <alignment horizontal="right"/>
      <protection hidden="1"/>
    </xf>
    <xf numFmtId="185" fontId="0" fillId="0" borderId="11" xfId="51" applyNumberFormat="1" applyFont="1" applyFill="1" applyBorder="1" applyAlignment="1" applyProtection="1">
      <alignment horizontal="right"/>
      <protection hidden="1"/>
    </xf>
    <xf numFmtId="171" fontId="0" fillId="0" borderId="11" xfId="51" applyNumberFormat="1" applyFont="1" applyFill="1" applyBorder="1" applyAlignment="1" applyProtection="1">
      <alignment horizontal="right"/>
      <protection hidden="1"/>
    </xf>
    <xf numFmtId="178" fontId="0" fillId="0" borderId="0" xfId="0" applyNumberFormat="1" applyFont="1" applyFill="1" applyBorder="1" applyAlignment="1" applyProtection="1">
      <alignment horizontal="center"/>
      <protection hidden="1"/>
    </xf>
    <xf numFmtId="187" fontId="0" fillId="0" borderId="11" xfId="51" applyNumberFormat="1" applyFont="1" applyFill="1" applyBorder="1" applyAlignment="1" applyProtection="1">
      <alignment horizontal="right"/>
      <protection hidden="1"/>
    </xf>
    <xf numFmtId="185" fontId="0" fillId="0" borderId="0" xfId="0" applyNumberFormat="1" applyFont="1" applyFill="1" applyBorder="1" applyAlignment="1" applyProtection="1">
      <alignment horizontal="center"/>
      <protection hidden="1"/>
    </xf>
    <xf numFmtId="0" fontId="0" fillId="0" borderId="14" xfId="0" applyFont="1" applyFill="1" applyBorder="1" applyAlignment="1" applyProtection="1">
      <alignment/>
      <protection hidden="1"/>
    </xf>
    <xf numFmtId="177" fontId="0" fillId="0" borderId="12" xfId="65" applyNumberFormat="1" applyFont="1" applyFill="1" applyBorder="1" applyAlignment="1" applyProtection="1">
      <alignment horizontal="right"/>
      <protection hidden="1"/>
    </xf>
    <xf numFmtId="177" fontId="0" fillId="0" borderId="11" xfId="65" applyNumberFormat="1" applyFont="1" applyFill="1" applyBorder="1" applyAlignment="1" applyProtection="1">
      <alignment horizontal="right"/>
      <protection hidden="1"/>
    </xf>
    <xf numFmtId="183" fontId="0" fillId="0" borderId="0" xfId="51" applyNumberFormat="1" applyFont="1" applyFill="1" applyBorder="1" applyAlignment="1" applyProtection="1">
      <alignment/>
      <protection hidden="1"/>
    </xf>
    <xf numFmtId="171" fontId="0" fillId="0" borderId="0" xfId="0" applyNumberFormat="1" applyFont="1" applyFill="1" applyBorder="1" applyAlignment="1" applyProtection="1">
      <alignment/>
      <protection hidden="1"/>
    </xf>
    <xf numFmtId="188" fontId="0" fillId="0" borderId="0" xfId="0" applyNumberFormat="1" applyFont="1" applyFill="1" applyBorder="1" applyAlignment="1" applyProtection="1">
      <alignment horizontal="center"/>
      <protection hidden="1"/>
    </xf>
    <xf numFmtId="185" fontId="0" fillId="0" borderId="12" xfId="0" applyNumberFormat="1" applyFont="1" applyFill="1" applyBorder="1" applyAlignment="1" applyProtection="1">
      <alignment horizontal="center"/>
      <protection hidden="1"/>
    </xf>
    <xf numFmtId="186" fontId="0" fillId="0" borderId="0" xfId="0" applyNumberFormat="1" applyFont="1" applyFill="1" applyBorder="1" applyAlignment="1" applyProtection="1">
      <alignment horizontal="center"/>
      <protection hidden="1"/>
    </xf>
    <xf numFmtId="190" fontId="0" fillId="0" borderId="0" xfId="0" applyNumberFormat="1" applyFont="1" applyFill="1" applyBorder="1" applyAlignment="1" applyProtection="1">
      <alignment horizontal="center"/>
      <protection hidden="1"/>
    </xf>
    <xf numFmtId="0" fontId="0" fillId="0" borderId="15" xfId="0" applyFont="1" applyFill="1" applyBorder="1" applyAlignment="1" applyProtection="1">
      <alignment/>
      <protection hidden="1"/>
    </xf>
    <xf numFmtId="0" fontId="0" fillId="0" borderId="0" xfId="0" applyFont="1" applyFill="1" applyAlignment="1" applyProtection="1">
      <alignment/>
      <protection hidden="1"/>
    </xf>
    <xf numFmtId="14" fontId="0" fillId="0" borderId="15" xfId="65" applyNumberFormat="1" applyFont="1" applyFill="1" applyBorder="1" applyAlignment="1" applyProtection="1">
      <alignment horizontal="center"/>
      <protection hidden="1"/>
    </xf>
    <xf numFmtId="14" fontId="0" fillId="0" borderId="13" xfId="65" applyNumberFormat="1" applyFont="1" applyFill="1" applyBorder="1" applyAlignment="1" applyProtection="1">
      <alignment horizontal="center"/>
      <protection hidden="1"/>
    </xf>
    <xf numFmtId="14" fontId="0" fillId="0" borderId="14" xfId="65" applyNumberFormat="1" applyFont="1" applyFill="1" applyBorder="1" applyAlignment="1" applyProtection="1">
      <alignment horizontal="center"/>
      <protection hidden="1"/>
    </xf>
    <xf numFmtId="0" fontId="0" fillId="0" borderId="0" xfId="0" applyFill="1" applyAlignment="1" applyProtection="1">
      <alignment/>
      <protection hidden="1"/>
    </xf>
    <xf numFmtId="0" fontId="1" fillId="0" borderId="0" xfId="48"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0" fontId="0" fillId="33" borderId="16" xfId="51" applyNumberFormat="1" applyFont="1" applyFill="1" applyBorder="1" applyAlignment="1" applyProtection="1">
      <alignment horizontal="center"/>
      <protection hidden="1"/>
    </xf>
    <xf numFmtId="184" fontId="0" fillId="33" borderId="16" xfId="65" applyNumberFormat="1" applyFont="1" applyFill="1" applyBorder="1" applyAlignment="1" applyProtection="1">
      <alignment/>
      <protection hidden="1"/>
    </xf>
    <xf numFmtId="188" fontId="0" fillId="33" borderId="16" xfId="51" applyNumberFormat="1" applyFont="1" applyFill="1" applyBorder="1" applyAlignment="1" applyProtection="1">
      <alignment horizontal="right"/>
      <protection hidden="1"/>
    </xf>
    <xf numFmtId="188" fontId="0" fillId="33" borderId="17" xfId="51" applyNumberFormat="1" applyFont="1" applyFill="1" applyBorder="1" applyAlignment="1" applyProtection="1">
      <alignment horizontal="right"/>
      <protection hidden="1"/>
    </xf>
    <xf numFmtId="14" fontId="0" fillId="33" borderId="16"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0" fillId="33" borderId="18" xfId="0" applyFont="1" applyFill="1" applyBorder="1" applyAlignment="1" applyProtection="1">
      <alignment horizontal="center"/>
      <protection hidden="1"/>
    </xf>
    <xf numFmtId="171" fontId="0" fillId="33" borderId="19" xfId="0" applyNumberFormat="1" applyFont="1" applyFill="1" applyBorder="1" applyAlignment="1" applyProtection="1">
      <alignment/>
      <protection hidden="1"/>
    </xf>
    <xf numFmtId="171" fontId="0" fillId="33" borderId="16" xfId="0" applyNumberFormat="1" applyFont="1" applyFill="1" applyBorder="1" applyAlignment="1" applyProtection="1">
      <alignment/>
      <protection hidden="1"/>
    </xf>
    <xf numFmtId="171" fontId="0" fillId="33" borderId="18" xfId="0" applyNumberFormat="1" applyFont="1" applyFill="1" applyBorder="1" applyAlignment="1" applyProtection="1">
      <alignment/>
      <protection hidden="1"/>
    </xf>
    <xf numFmtId="14" fontId="0" fillId="33" borderId="20" xfId="0" applyNumberFormat="1" applyFont="1" applyFill="1" applyBorder="1" applyAlignment="1" applyProtection="1">
      <alignment horizontal="center"/>
      <protection hidden="1"/>
    </xf>
    <xf numFmtId="0" fontId="0" fillId="33" borderId="21" xfId="0" applyFont="1" applyFill="1" applyBorder="1" applyAlignment="1" applyProtection="1">
      <alignment horizontal="center"/>
      <protection hidden="1"/>
    </xf>
    <xf numFmtId="0" fontId="0" fillId="33" borderId="22" xfId="0" applyFont="1" applyFill="1" applyBorder="1" applyAlignment="1" applyProtection="1">
      <alignment horizontal="center"/>
      <protection hidden="1"/>
    </xf>
    <xf numFmtId="171" fontId="0" fillId="33" borderId="20" xfId="0" applyNumberFormat="1" applyFont="1" applyFill="1" applyBorder="1" applyAlignment="1" applyProtection="1">
      <alignment/>
      <protection hidden="1"/>
    </xf>
    <xf numFmtId="171" fontId="0" fillId="33" borderId="22" xfId="0" applyNumberFormat="1" applyFont="1" applyFill="1" applyBorder="1" applyAlignment="1" applyProtection="1">
      <alignment/>
      <protection hidden="1"/>
    </xf>
    <xf numFmtId="0" fontId="4" fillId="33" borderId="23"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184" fontId="4" fillId="33" borderId="25" xfId="65" applyNumberFormat="1" applyFont="1" applyFill="1" applyBorder="1" applyAlignment="1" applyProtection="1">
      <alignment/>
      <protection hidden="1"/>
    </xf>
    <xf numFmtId="188" fontId="4" fillId="33" borderId="24" xfId="0" applyNumberFormat="1" applyFont="1" applyFill="1" applyBorder="1" applyAlignment="1" applyProtection="1">
      <alignment/>
      <protection hidden="1"/>
    </xf>
    <xf numFmtId="188" fontId="4" fillId="33" borderId="26" xfId="51" applyNumberFormat="1" applyFont="1" applyFill="1" applyBorder="1" applyAlignment="1" applyProtection="1">
      <alignment/>
      <protection hidden="1"/>
    </xf>
    <xf numFmtId="188" fontId="4" fillId="33" borderId="27" xfId="51" applyNumberFormat="1" applyFont="1" applyFill="1" applyBorder="1" applyAlignment="1" applyProtection="1">
      <alignment/>
      <protection hidden="1"/>
    </xf>
    <xf numFmtId="14" fontId="0" fillId="33" borderId="0" xfId="0" applyNumberFormat="1" applyFont="1" applyFill="1" applyBorder="1" applyAlignment="1" applyProtection="1">
      <alignment horizontal="center"/>
      <protection hidden="1"/>
    </xf>
    <xf numFmtId="0" fontId="0" fillId="33" borderId="0" xfId="0" applyFont="1" applyFill="1" applyAlignment="1" applyProtection="1">
      <alignment horizontal="center"/>
      <protection hidden="1"/>
    </xf>
    <xf numFmtId="171" fontId="4" fillId="33" borderId="28" xfId="0" applyNumberFormat="1" applyFont="1" applyFill="1" applyBorder="1" applyAlignment="1" applyProtection="1">
      <alignment/>
      <protection hidden="1"/>
    </xf>
    <xf numFmtId="171" fontId="4" fillId="33" borderId="26" xfId="51" applyNumberFormat="1" applyFont="1" applyFill="1" applyBorder="1" applyAlignment="1" applyProtection="1">
      <alignment/>
      <protection hidden="1"/>
    </xf>
    <xf numFmtId="171" fontId="4" fillId="33" borderId="27" xfId="51"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horizontal="center" vertical="center"/>
      <protection hidden="1"/>
    </xf>
    <xf numFmtId="0" fontId="0" fillId="35" borderId="0" xfId="0" applyFont="1" applyFill="1" applyAlignment="1" applyProtection="1">
      <alignment/>
      <protection hidden="1"/>
    </xf>
    <xf numFmtId="170" fontId="0" fillId="0" borderId="16" xfId="51" applyNumberFormat="1" applyFont="1" applyFill="1" applyBorder="1" applyAlignment="1" applyProtection="1">
      <alignment horizontal="center"/>
      <protection hidden="1"/>
    </xf>
    <xf numFmtId="184" fontId="0" fillId="0" borderId="16" xfId="65" applyNumberFormat="1" applyFont="1" applyFill="1" applyBorder="1" applyAlignment="1" applyProtection="1">
      <alignment/>
      <protection hidden="1"/>
    </xf>
    <xf numFmtId="188" fontId="0" fillId="0" borderId="16" xfId="51" applyNumberFormat="1" applyFont="1" applyFill="1" applyBorder="1" applyAlignment="1" applyProtection="1">
      <alignment horizontal="right"/>
      <protection hidden="1"/>
    </xf>
    <xf numFmtId="188" fontId="0" fillId="0" borderId="17" xfId="51" applyNumberFormat="1" applyFont="1" applyFill="1" applyBorder="1" applyAlignment="1" applyProtection="1">
      <alignment horizontal="right"/>
      <protection hidden="1"/>
    </xf>
    <xf numFmtId="14" fontId="0" fillId="0" borderId="16" xfId="0" applyNumberFormat="1" applyFont="1" applyFill="1" applyBorder="1" applyAlignment="1" applyProtection="1">
      <alignment horizontal="center"/>
      <protection hidden="1"/>
    </xf>
    <xf numFmtId="0" fontId="0" fillId="0" borderId="18" xfId="0" applyFont="1" applyFill="1" applyBorder="1" applyAlignment="1" applyProtection="1">
      <alignment horizontal="center"/>
      <protection hidden="1"/>
    </xf>
    <xf numFmtId="171" fontId="0" fillId="0" borderId="16" xfId="0" applyNumberFormat="1" applyFont="1" applyFill="1" applyBorder="1" applyAlignment="1" applyProtection="1">
      <alignment/>
      <protection hidden="1"/>
    </xf>
    <xf numFmtId="171" fontId="0" fillId="0" borderId="18" xfId="0" applyNumberFormat="1" applyFont="1" applyFill="1" applyBorder="1" applyAlignment="1" applyProtection="1">
      <alignment/>
      <protection hidden="1"/>
    </xf>
    <xf numFmtId="176" fontId="0" fillId="0" borderId="23" xfId="65" applyNumberFormat="1" applyFont="1" applyFill="1" applyBorder="1" applyAlignment="1" applyProtection="1">
      <alignment horizontal="center"/>
      <protection hidden="1"/>
    </xf>
    <xf numFmtId="171" fontId="0" fillId="0" borderId="19" xfId="0" applyNumberFormat="1" applyFont="1" applyFill="1" applyBorder="1" applyAlignment="1" applyProtection="1">
      <alignment/>
      <protection hidden="1"/>
    </xf>
    <xf numFmtId="179" fontId="0" fillId="0" borderId="0" xfId="0" applyNumberFormat="1"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0" xfId="0" applyFont="1" applyFill="1" applyAlignment="1">
      <alignment/>
    </xf>
    <xf numFmtId="184" fontId="0" fillId="0" borderId="0" xfId="0" applyNumberFormat="1" applyFont="1" applyFill="1" applyBorder="1" applyAlignment="1" applyProtection="1">
      <alignment horizontal="center"/>
      <protection hidden="1"/>
    </xf>
    <xf numFmtId="14" fontId="0" fillId="34" borderId="19" xfId="0" applyNumberFormat="1" applyFont="1" applyFill="1" applyBorder="1" applyAlignment="1" applyProtection="1">
      <alignment horizontal="center"/>
      <protection hidden="1"/>
    </xf>
    <xf numFmtId="0" fontId="0" fillId="34" borderId="0" xfId="0" applyFont="1" applyFill="1" applyAlignment="1" applyProtection="1">
      <alignment/>
      <protection hidden="1"/>
    </xf>
    <xf numFmtId="14" fontId="0" fillId="0" borderId="13" xfId="0" applyNumberFormat="1" applyFont="1" applyFill="1" applyBorder="1" applyAlignment="1" applyProtection="1">
      <alignment horizontal="center"/>
      <protection hidden="1"/>
    </xf>
    <xf numFmtId="0" fontId="6" fillId="0" borderId="13" xfId="0" applyFont="1" applyFill="1" applyBorder="1" applyAlignment="1">
      <alignment horizontal="center" wrapText="1"/>
    </xf>
    <xf numFmtId="0" fontId="0" fillId="0" borderId="11" xfId="0" applyFont="1" applyFill="1" applyBorder="1" applyAlignment="1" applyProtection="1">
      <alignment horizontal="center"/>
      <protection hidden="1"/>
    </xf>
    <xf numFmtId="188" fontId="0" fillId="0" borderId="16" xfId="51" applyNumberFormat="1" applyFont="1" applyFill="1" applyBorder="1" applyAlignment="1" applyProtection="1">
      <alignment/>
      <protection hidden="1"/>
    </xf>
    <xf numFmtId="10" fontId="0" fillId="34" borderId="11" xfId="0" applyNumberFormat="1" applyFont="1" applyFill="1" applyBorder="1" applyAlignment="1" applyProtection="1">
      <alignment horizontal="center"/>
      <protection hidden="1"/>
    </xf>
    <xf numFmtId="176" fontId="0" fillId="0" borderId="29" xfId="70" applyNumberFormat="1" applyFont="1" applyFill="1" applyBorder="1" applyAlignment="1" applyProtection="1">
      <alignment horizontal="center"/>
      <protection hidden="1"/>
    </xf>
    <xf numFmtId="176" fontId="0" fillId="0" borderId="30" xfId="70" applyNumberFormat="1" applyFont="1" applyFill="1" applyBorder="1" applyAlignment="1" applyProtection="1">
      <alignment horizontal="center"/>
      <protection hidden="1"/>
    </xf>
    <xf numFmtId="176" fontId="0" fillId="0" borderId="0" xfId="70" applyNumberFormat="1" applyFont="1" applyFill="1" applyBorder="1" applyAlignment="1" applyProtection="1">
      <alignment horizontal="center"/>
      <protection hidden="1"/>
    </xf>
    <xf numFmtId="14" fontId="0" fillId="0" borderId="13" xfId="70" applyNumberFormat="1" applyFont="1" applyFill="1" applyBorder="1" applyAlignment="1" applyProtection="1">
      <alignment horizontal="center"/>
      <protection hidden="1"/>
    </xf>
    <xf numFmtId="180" fontId="0" fillId="0" borderId="0" xfId="70" applyNumberFormat="1" applyFont="1" applyFill="1" applyBorder="1" applyAlignment="1" applyProtection="1">
      <alignment horizontal="center"/>
      <protection hidden="1"/>
    </xf>
    <xf numFmtId="2" fontId="4" fillId="34" borderId="28" xfId="70" applyNumberFormat="1" applyFont="1" applyFill="1" applyBorder="1" applyAlignment="1" applyProtection="1">
      <alignment horizontal="center" vertical="center" wrapText="1"/>
      <protection hidden="1"/>
    </xf>
    <xf numFmtId="176" fontId="4" fillId="34" borderId="25" xfId="70" applyNumberFormat="1" applyFont="1" applyFill="1" applyBorder="1" applyAlignment="1" applyProtection="1">
      <alignment horizontal="center" vertical="center" wrapText="1"/>
      <protection hidden="1"/>
    </xf>
    <xf numFmtId="2" fontId="4" fillId="34" borderId="25" xfId="70" applyNumberFormat="1" applyFont="1" applyFill="1" applyBorder="1" applyAlignment="1" applyProtection="1">
      <alignment horizontal="center" vertical="center" wrapText="1"/>
      <protection hidden="1"/>
    </xf>
    <xf numFmtId="176" fontId="4" fillId="34" borderId="26" xfId="70" applyNumberFormat="1"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24" xfId="0" applyFont="1" applyFill="1" applyBorder="1" applyAlignment="1" applyProtection="1">
      <alignment horizontal="center" vertical="center" wrapText="1"/>
      <protection hidden="1"/>
    </xf>
    <xf numFmtId="0" fontId="4" fillId="34" borderId="27" xfId="0" applyFont="1" applyFill="1" applyBorder="1" applyAlignment="1" applyProtection="1">
      <alignment horizontal="center" vertical="center" wrapText="1"/>
      <protection hidden="1"/>
    </xf>
    <xf numFmtId="2" fontId="4" fillId="34" borderId="27" xfId="70" applyNumberFormat="1" applyFont="1" applyFill="1" applyBorder="1" applyAlignment="1" applyProtection="1">
      <alignment horizontal="center" vertical="center" wrapText="1"/>
      <protection hidden="1"/>
    </xf>
    <xf numFmtId="0" fontId="53" fillId="36" borderId="31" xfId="0" applyFont="1" applyFill="1" applyBorder="1" applyAlignment="1" applyProtection="1">
      <alignment horizontal="left"/>
      <protection hidden="1"/>
    </xf>
    <xf numFmtId="0" fontId="8" fillId="0" borderId="32" xfId="0" applyFont="1" applyBorder="1" applyAlignment="1" applyProtection="1">
      <alignment/>
      <protection hidden="1"/>
    </xf>
    <xf numFmtId="0" fontId="7" fillId="36" borderId="33" xfId="0" applyFont="1" applyFill="1" applyBorder="1" applyAlignment="1" applyProtection="1">
      <alignment horizontal="left"/>
      <protection hidden="1"/>
    </xf>
    <xf numFmtId="0" fontId="8" fillId="0" borderId="34" xfId="0" applyFont="1" applyBorder="1" applyAlignment="1" applyProtection="1">
      <alignment/>
      <protection hidden="1"/>
    </xf>
    <xf numFmtId="14" fontId="8" fillId="0" borderId="35" xfId="0" applyNumberFormat="1" applyFont="1" applyBorder="1" applyAlignment="1" applyProtection="1">
      <alignment/>
      <protection hidden="1"/>
    </xf>
    <xf numFmtId="14" fontId="8" fillId="0" borderId="34" xfId="0" applyNumberFormat="1" applyFont="1" applyBorder="1" applyAlignment="1" applyProtection="1">
      <alignment/>
      <protection hidden="1"/>
    </xf>
    <xf numFmtId="14" fontId="8" fillId="0" borderId="36" xfId="0" applyNumberFormat="1" applyFont="1" applyBorder="1" applyAlignment="1" applyProtection="1">
      <alignment/>
      <protection hidden="1"/>
    </xf>
    <xf numFmtId="0" fontId="8" fillId="0" borderId="0" xfId="0" applyFont="1" applyBorder="1" applyAlignment="1" applyProtection="1">
      <alignment/>
      <protection hidden="1"/>
    </xf>
    <xf numFmtId="0" fontId="54" fillId="37" borderId="35" xfId="0" applyFont="1" applyFill="1" applyBorder="1" applyAlignment="1" applyProtection="1">
      <alignment/>
      <protection hidden="1"/>
    </xf>
    <xf numFmtId="0" fontId="54" fillId="37" borderId="34" xfId="0" applyFont="1" applyFill="1" applyBorder="1" applyAlignment="1" applyProtection="1">
      <alignment/>
      <protection hidden="1"/>
    </xf>
    <xf numFmtId="0" fontId="9" fillId="37" borderId="34" xfId="0" applyFont="1" applyFill="1" applyBorder="1" applyAlignment="1" applyProtection="1">
      <alignment/>
      <protection hidden="1"/>
    </xf>
    <xf numFmtId="0" fontId="9" fillId="37" borderId="36" xfId="0" applyFont="1" applyFill="1" applyBorder="1" applyAlignment="1" applyProtection="1">
      <alignment/>
      <protection hidden="1"/>
    </xf>
    <xf numFmtId="0" fontId="8" fillId="0" borderId="0" xfId="0" applyFont="1" applyAlignment="1" applyProtection="1">
      <alignment/>
      <protection hidden="1"/>
    </xf>
    <xf numFmtId="0" fontId="9" fillId="38" borderId="35" xfId="0" applyFont="1" applyFill="1" applyBorder="1" applyAlignment="1" applyProtection="1">
      <alignment/>
      <protection hidden="1"/>
    </xf>
    <xf numFmtId="0" fontId="5" fillId="38" borderId="35" xfId="0" applyFont="1" applyFill="1" applyBorder="1" applyAlignment="1" applyProtection="1">
      <alignment/>
      <protection hidden="1"/>
    </xf>
    <xf numFmtId="0" fontId="54" fillId="38" borderId="34" xfId="0" applyFont="1" applyFill="1" applyBorder="1" applyAlignment="1" applyProtection="1">
      <alignment/>
      <protection hidden="1"/>
    </xf>
    <xf numFmtId="0" fontId="9" fillId="38" borderId="34" xfId="0" applyFont="1" applyFill="1" applyBorder="1" applyAlignment="1" applyProtection="1">
      <alignment/>
      <protection hidden="1"/>
    </xf>
    <xf numFmtId="0" fontId="8" fillId="0" borderId="36" xfId="0" applyFont="1" applyBorder="1" applyAlignment="1" applyProtection="1">
      <alignment/>
      <protection hidden="1"/>
    </xf>
    <xf numFmtId="0" fontId="5" fillId="38" borderId="0" xfId="0" applyFont="1" applyFill="1" applyBorder="1" applyAlignment="1" applyProtection="1">
      <alignment horizontal="center" vertical="center" wrapText="1"/>
      <protection hidden="1"/>
    </xf>
    <xf numFmtId="0" fontId="8" fillId="37" borderId="0" xfId="0" applyFont="1" applyFill="1" applyBorder="1" applyAlignment="1" applyProtection="1">
      <alignment/>
      <protection hidden="1"/>
    </xf>
    <xf numFmtId="0" fontId="10" fillId="37" borderId="0"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14" fontId="8" fillId="0" borderId="0" xfId="0" applyNumberFormat="1" applyFont="1" applyFill="1" applyBorder="1" applyAlignment="1" applyProtection="1">
      <alignment horizontal="center"/>
      <protection hidden="1"/>
    </xf>
    <xf numFmtId="0" fontId="9" fillId="37" borderId="0" xfId="0" applyFont="1" applyFill="1" applyBorder="1" applyAlignment="1" applyProtection="1">
      <alignment horizontal="left" vertical="center" indent="14"/>
      <protection hidden="1"/>
    </xf>
    <xf numFmtId="0" fontId="11" fillId="37" borderId="0" xfId="0" applyFont="1" applyFill="1" applyBorder="1" applyAlignment="1" applyProtection="1">
      <alignment horizontal="left" vertical="center" indent="14"/>
      <protection hidden="1"/>
    </xf>
    <xf numFmtId="0" fontId="8" fillId="0" borderId="0" xfId="0" applyFont="1" applyFill="1" applyAlignment="1" applyProtection="1">
      <alignment/>
      <protection hidden="1"/>
    </xf>
    <xf numFmtId="14" fontId="8" fillId="38" borderId="0" xfId="0" applyNumberFormat="1" applyFont="1" applyFill="1" applyAlignment="1" applyProtection="1">
      <alignment/>
      <protection hidden="1"/>
    </xf>
    <xf numFmtId="14" fontId="8" fillId="0" borderId="0" xfId="0" applyNumberFormat="1" applyFont="1" applyFill="1" applyBorder="1" applyAlignment="1" applyProtection="1">
      <alignment/>
      <protection hidden="1"/>
    </xf>
    <xf numFmtId="0" fontId="11" fillId="37" borderId="0" xfId="0" applyFont="1" applyFill="1" applyBorder="1" applyAlignment="1" applyProtection="1">
      <alignment vertical="center"/>
      <protection hidden="1"/>
    </xf>
    <xf numFmtId="0" fontId="5" fillId="37" borderId="32" xfId="0" applyFont="1" applyFill="1" applyBorder="1" applyAlignment="1" applyProtection="1">
      <alignment/>
      <protection hidden="1"/>
    </xf>
    <xf numFmtId="14" fontId="8" fillId="0" borderId="0" xfId="0" applyNumberFormat="1" applyFont="1" applyFill="1" applyAlignment="1" applyProtection="1">
      <alignment/>
      <protection hidden="1"/>
    </xf>
    <xf numFmtId="0" fontId="8" fillId="37" borderId="37" xfId="0" applyFont="1" applyFill="1" applyBorder="1" applyAlignment="1" applyProtection="1">
      <alignment/>
      <protection hidden="1"/>
    </xf>
    <xf numFmtId="0" fontId="7" fillId="36" borderId="38" xfId="0" applyFont="1" applyFill="1" applyBorder="1" applyAlignment="1" applyProtection="1">
      <alignment horizontal="left"/>
      <protection hidden="1"/>
    </xf>
    <xf numFmtId="14" fontId="9" fillId="38" borderId="38" xfId="0" applyNumberFormat="1" applyFont="1" applyFill="1" applyBorder="1" applyAlignment="1" applyProtection="1">
      <alignment horizontal="center"/>
      <protection hidden="1" locked="0"/>
    </xf>
    <xf numFmtId="14" fontId="9" fillId="38" borderId="39" xfId="0" applyNumberFormat="1" applyFont="1" applyFill="1" applyBorder="1" applyAlignment="1" applyProtection="1">
      <alignment horizontal="center"/>
      <protection hidden="1" locked="0"/>
    </xf>
    <xf numFmtId="0" fontId="8" fillId="0" borderId="33" xfId="0" applyFont="1" applyBorder="1" applyAlignment="1" applyProtection="1">
      <alignment/>
      <protection hidden="1"/>
    </xf>
    <xf numFmtId="0" fontId="1" fillId="0" borderId="0" xfId="48" applyFont="1" applyBorder="1" applyAlignment="1" applyProtection="1">
      <alignment horizontal="center" vertical="center"/>
      <protection hidden="1"/>
    </xf>
    <xf numFmtId="9" fontId="8" fillId="0" borderId="0" xfId="0" applyNumberFormat="1" applyFont="1" applyFill="1" applyBorder="1" applyAlignment="1" applyProtection="1">
      <alignment horizontal="left"/>
      <protection hidden="1"/>
    </xf>
    <xf numFmtId="14" fontId="8" fillId="0" borderId="40" xfId="0" applyNumberFormat="1" applyFont="1" applyBorder="1" applyAlignment="1" applyProtection="1">
      <alignment horizontal="right" indent="1"/>
      <protection hidden="1"/>
    </xf>
    <xf numFmtId="0" fontId="8" fillId="0" borderId="37" xfId="0" applyFont="1" applyBorder="1" applyAlignment="1" applyProtection="1">
      <alignment/>
      <protection hidden="1"/>
    </xf>
    <xf numFmtId="9" fontId="5" fillId="38" borderId="40" xfId="65" applyFont="1" applyFill="1" applyBorder="1" applyAlignment="1" applyProtection="1">
      <alignment horizontal="right" indent="1"/>
      <protection hidden="1" locked="0"/>
    </xf>
    <xf numFmtId="0" fontId="8" fillId="0" borderId="37" xfId="0" applyNumberFormat="1" applyFont="1" applyBorder="1" applyAlignment="1" applyProtection="1">
      <alignment horizontal="right" indent="1"/>
      <protection hidden="1"/>
    </xf>
    <xf numFmtId="177" fontId="12" fillId="38" borderId="37" xfId="0" applyNumberFormat="1" applyFont="1" applyFill="1" applyBorder="1" applyAlignment="1" applyProtection="1">
      <alignment horizontal="right" indent="1"/>
      <protection hidden="1" locked="0"/>
    </xf>
    <xf numFmtId="14" fontId="8" fillId="0" borderId="37" xfId="0" applyNumberFormat="1" applyFont="1" applyBorder="1" applyAlignment="1" applyProtection="1">
      <alignment horizontal="right" indent="1"/>
      <protection hidden="1"/>
    </xf>
    <xf numFmtId="14" fontId="8" fillId="0" borderId="37" xfId="0" applyNumberFormat="1" applyFont="1" applyBorder="1" applyAlignment="1" applyProtection="1">
      <alignment horizontal="center"/>
      <protection hidden="1"/>
    </xf>
    <xf numFmtId="182" fontId="9" fillId="38" borderId="37" xfId="51" applyNumberFormat="1" applyFont="1" applyFill="1" applyBorder="1" applyAlignment="1" applyProtection="1">
      <alignment horizontal="right" indent="1"/>
      <protection hidden="1" locked="0"/>
    </xf>
    <xf numFmtId="182" fontId="8" fillId="0" borderId="41" xfId="51" applyNumberFormat="1" applyFont="1" applyBorder="1" applyAlignment="1" applyProtection="1">
      <alignment horizontal="right" indent="1"/>
      <protection hidden="1" locked="0"/>
    </xf>
    <xf numFmtId="177" fontId="8" fillId="0" borderId="37" xfId="65" applyNumberFormat="1" applyFont="1" applyBorder="1" applyAlignment="1" applyProtection="1">
      <alignment horizontal="right" indent="1"/>
      <protection hidden="1"/>
    </xf>
    <xf numFmtId="14" fontId="5" fillId="0" borderId="37" xfId="0" applyNumberFormat="1" applyFont="1" applyBorder="1" applyAlignment="1" applyProtection="1">
      <alignment horizontal="right" indent="1"/>
      <protection hidden="1"/>
    </xf>
    <xf numFmtId="181" fontId="8" fillId="0" borderId="37" xfId="51" applyNumberFormat="1" applyFont="1" applyBorder="1" applyAlignment="1" applyProtection="1">
      <alignment horizontal="right" indent="1"/>
      <protection hidden="1"/>
    </xf>
    <xf numFmtId="14" fontId="8" fillId="0" borderId="41" xfId="0" applyNumberFormat="1" applyFont="1" applyBorder="1" applyAlignment="1" applyProtection="1">
      <alignment horizontal="right" indent="1"/>
      <protection hidden="1"/>
    </xf>
    <xf numFmtId="189" fontId="10" fillId="38" borderId="37" xfId="51" applyNumberFormat="1" applyFont="1" applyFill="1" applyBorder="1" applyAlignment="1" applyProtection="1">
      <alignment horizontal="right" indent="1"/>
      <protection hidden="1" locked="0"/>
    </xf>
    <xf numFmtId="189" fontId="8" fillId="0" borderId="41" xfId="51" applyNumberFormat="1" applyFont="1" applyBorder="1" applyAlignment="1" applyProtection="1">
      <alignment horizontal="right" indent="1"/>
      <protection hidden="1"/>
    </xf>
    <xf numFmtId="2" fontId="9" fillId="37" borderId="40" xfId="0" applyNumberFormat="1" applyFont="1" applyFill="1" applyBorder="1" applyAlignment="1" applyProtection="1">
      <alignment horizontal="right" indent="1"/>
      <protection hidden="1"/>
    </xf>
    <xf numFmtId="14" fontId="8" fillId="0" borderId="42" xfId="0" applyNumberFormat="1" applyFont="1" applyBorder="1" applyAlignment="1" applyProtection="1">
      <alignment/>
      <protection hidden="1"/>
    </xf>
    <xf numFmtId="2" fontId="9" fillId="37" borderId="37" xfId="0" applyNumberFormat="1" applyFont="1" applyFill="1" applyBorder="1" applyAlignment="1" applyProtection="1">
      <alignment horizontal="right" indent="1"/>
      <protection hidden="1"/>
    </xf>
    <xf numFmtId="2" fontId="9" fillId="37" borderId="0" xfId="0" applyNumberFormat="1" applyFont="1" applyFill="1" applyBorder="1" applyAlignment="1" applyProtection="1">
      <alignment horizontal="center"/>
      <protection hidden="1"/>
    </xf>
    <xf numFmtId="2" fontId="9" fillId="37" borderId="41" xfId="0" applyNumberFormat="1" applyFont="1" applyFill="1" applyBorder="1" applyAlignment="1" applyProtection="1">
      <alignment horizontal="right" indent="1"/>
      <protection hidden="1"/>
    </xf>
    <xf numFmtId="182" fontId="8" fillId="0" borderId="38" xfId="51" applyNumberFormat="1" applyFont="1" applyBorder="1" applyAlignment="1" applyProtection="1">
      <alignment horizontal="right" indent="1"/>
      <protection hidden="1"/>
    </xf>
    <xf numFmtId="0" fontId="13" fillId="37" borderId="0" xfId="0" applyFont="1" applyFill="1" applyAlignment="1" applyProtection="1">
      <alignment horizontal="right"/>
      <protection hidden="1"/>
    </xf>
    <xf numFmtId="0" fontId="13" fillId="0" borderId="0" xfId="0" applyFont="1" applyAlignment="1" applyProtection="1">
      <alignment/>
      <protection hidden="1"/>
    </xf>
    <xf numFmtId="14" fontId="6" fillId="34" borderId="13" xfId="63" applyNumberFormat="1" applyFont="1" applyFill="1" applyBorder="1" applyAlignment="1">
      <alignment horizontal="center"/>
      <protection/>
    </xf>
    <xf numFmtId="14" fontId="0" fillId="0" borderId="19" xfId="0" applyNumberFormat="1" applyFont="1" applyFill="1" applyBorder="1" applyAlignment="1" applyProtection="1">
      <alignment horizontal="center"/>
      <protection hidden="1"/>
    </xf>
    <xf numFmtId="0" fontId="0" fillId="39" borderId="0" xfId="0" applyFont="1" applyFill="1" applyBorder="1" applyAlignment="1" applyProtection="1">
      <alignment horizontal="center"/>
      <protection hidden="1"/>
    </xf>
    <xf numFmtId="14" fontId="6" fillId="0" borderId="13" xfId="63" applyNumberFormat="1" applyFont="1" applyFill="1" applyBorder="1" applyAlignment="1">
      <alignment horizontal="center"/>
      <protection/>
    </xf>
    <xf numFmtId="170" fontId="0" fillId="37" borderId="16" xfId="51" applyNumberFormat="1" applyFont="1" applyFill="1" applyBorder="1" applyAlignment="1" applyProtection="1">
      <alignment horizontal="center"/>
      <protection hidden="1"/>
    </xf>
    <xf numFmtId="184" fontId="0" fillId="37" borderId="16" xfId="65" applyNumberFormat="1" applyFont="1" applyFill="1" applyBorder="1" applyAlignment="1" applyProtection="1">
      <alignment/>
      <protection hidden="1"/>
    </xf>
    <xf numFmtId="188" fontId="0" fillId="37" borderId="16" xfId="51" applyNumberFormat="1" applyFont="1" applyFill="1" applyBorder="1" applyAlignment="1" applyProtection="1">
      <alignment/>
      <protection hidden="1"/>
    </xf>
    <xf numFmtId="188" fontId="0" fillId="37" borderId="16" xfId="51" applyNumberFormat="1" applyFont="1" applyFill="1" applyBorder="1" applyAlignment="1" applyProtection="1">
      <alignment horizontal="right"/>
      <protection hidden="1"/>
    </xf>
    <xf numFmtId="188" fontId="0" fillId="37" borderId="17" xfId="51" applyNumberFormat="1" applyFont="1" applyFill="1" applyBorder="1" applyAlignment="1" applyProtection="1">
      <alignment horizontal="right"/>
      <protection hidden="1"/>
    </xf>
    <xf numFmtId="14" fontId="0" fillId="37" borderId="16" xfId="0" applyNumberFormat="1" applyFont="1" applyFill="1" applyBorder="1" applyAlignment="1" applyProtection="1">
      <alignment horizontal="center"/>
      <protection hidden="1"/>
    </xf>
    <xf numFmtId="0" fontId="0" fillId="37" borderId="0" xfId="0" applyFont="1" applyFill="1" applyBorder="1" applyAlignment="1" applyProtection="1">
      <alignment horizontal="center"/>
      <protection hidden="1"/>
    </xf>
    <xf numFmtId="0" fontId="0" fillId="37" borderId="18" xfId="0" applyFont="1" applyFill="1" applyBorder="1" applyAlignment="1" applyProtection="1">
      <alignment horizontal="center"/>
      <protection hidden="1"/>
    </xf>
    <xf numFmtId="171" fontId="0" fillId="37" borderId="19" xfId="0" applyNumberFormat="1" applyFont="1" applyFill="1" applyBorder="1" applyAlignment="1" applyProtection="1">
      <alignment/>
      <protection hidden="1"/>
    </xf>
    <xf numFmtId="171" fontId="0" fillId="37" borderId="16" xfId="0" applyNumberFormat="1" applyFont="1" applyFill="1" applyBorder="1" applyAlignment="1" applyProtection="1">
      <alignment/>
      <protection hidden="1"/>
    </xf>
    <xf numFmtId="171" fontId="0" fillId="37" borderId="18" xfId="0" applyNumberFormat="1" applyFont="1" applyFill="1" applyBorder="1" applyAlignment="1" applyProtection="1">
      <alignment/>
      <protection hidden="1"/>
    </xf>
    <xf numFmtId="179" fontId="0" fillId="37" borderId="0" xfId="0" applyNumberFormat="1" applyFont="1" applyFill="1" applyBorder="1" applyAlignment="1" applyProtection="1">
      <alignment horizontal="center"/>
      <protection hidden="1"/>
    </xf>
    <xf numFmtId="14" fontId="0" fillId="39" borderId="19" xfId="0" applyNumberFormat="1" applyFont="1" applyFill="1" applyBorder="1" applyAlignment="1" applyProtection="1">
      <alignment horizontal="center"/>
      <protection hidden="1"/>
    </xf>
    <xf numFmtId="170" fontId="0" fillId="39" borderId="16" xfId="51" applyNumberFormat="1" applyFont="1" applyFill="1" applyBorder="1" applyAlignment="1" applyProtection="1">
      <alignment horizontal="center"/>
      <protection hidden="1"/>
    </xf>
    <xf numFmtId="184" fontId="0" fillId="39" borderId="16" xfId="65" applyNumberFormat="1" applyFont="1" applyFill="1" applyBorder="1" applyAlignment="1" applyProtection="1">
      <alignment/>
      <protection hidden="1"/>
    </xf>
    <xf numFmtId="188" fontId="0" fillId="39" borderId="16" xfId="51" applyNumberFormat="1" applyFont="1" applyFill="1" applyBorder="1" applyAlignment="1" applyProtection="1">
      <alignment/>
      <protection hidden="1"/>
    </xf>
    <xf numFmtId="188" fontId="0" fillId="39" borderId="16" xfId="51" applyNumberFormat="1" applyFont="1" applyFill="1" applyBorder="1" applyAlignment="1" applyProtection="1">
      <alignment horizontal="right"/>
      <protection hidden="1"/>
    </xf>
    <xf numFmtId="188" fontId="0" fillId="39" borderId="17" xfId="51" applyNumberFormat="1" applyFont="1" applyFill="1" applyBorder="1" applyAlignment="1" applyProtection="1">
      <alignment horizontal="right"/>
      <protection hidden="1"/>
    </xf>
    <xf numFmtId="14" fontId="0" fillId="39" borderId="16" xfId="0" applyNumberFormat="1" applyFont="1" applyFill="1" applyBorder="1" applyAlignment="1" applyProtection="1">
      <alignment horizontal="center"/>
      <protection hidden="1"/>
    </xf>
    <xf numFmtId="0" fontId="0" fillId="39" borderId="18" xfId="0" applyFont="1" applyFill="1" applyBorder="1" applyAlignment="1" applyProtection="1">
      <alignment horizontal="center"/>
      <protection hidden="1"/>
    </xf>
    <xf numFmtId="171" fontId="0" fillId="39" borderId="19" xfId="0" applyNumberFormat="1" applyFont="1" applyFill="1" applyBorder="1" applyAlignment="1" applyProtection="1">
      <alignment/>
      <protection hidden="1"/>
    </xf>
    <xf numFmtId="171" fontId="0" fillId="39" borderId="16" xfId="0" applyNumberFormat="1" applyFont="1" applyFill="1" applyBorder="1" applyAlignment="1" applyProtection="1">
      <alignment/>
      <protection hidden="1"/>
    </xf>
    <xf numFmtId="171" fontId="0" fillId="39" borderId="18" xfId="0" applyNumberFormat="1" applyFont="1" applyFill="1" applyBorder="1" applyAlignment="1" applyProtection="1">
      <alignment/>
      <protection hidden="1"/>
    </xf>
    <xf numFmtId="0" fontId="0" fillId="39" borderId="0" xfId="0" applyFont="1" applyFill="1" applyAlignment="1" applyProtection="1">
      <alignment/>
      <protection hidden="1"/>
    </xf>
    <xf numFmtId="0" fontId="6" fillId="33" borderId="0" xfId="0" applyFont="1" applyFill="1" applyAlignment="1">
      <alignment/>
    </xf>
    <xf numFmtId="184" fontId="6" fillId="33" borderId="0" xfId="0" applyNumberFormat="1" applyFont="1" applyFill="1" applyAlignment="1">
      <alignment/>
    </xf>
    <xf numFmtId="0" fontId="6" fillId="34" borderId="0" xfId="0" applyFont="1" applyFill="1" applyAlignment="1">
      <alignment/>
    </xf>
    <xf numFmtId="184" fontId="6" fillId="37" borderId="0" xfId="0" applyNumberFormat="1" applyFont="1" applyFill="1" applyAlignment="1">
      <alignment/>
    </xf>
    <xf numFmtId="191" fontId="6" fillId="37" borderId="0" xfId="0" applyNumberFormat="1" applyFont="1" applyFill="1" applyAlignment="1">
      <alignment/>
    </xf>
    <xf numFmtId="192" fontId="6" fillId="37" borderId="0" xfId="0" applyNumberFormat="1" applyFont="1" applyFill="1" applyAlignment="1">
      <alignment/>
    </xf>
    <xf numFmtId="0" fontId="18" fillId="37" borderId="0" xfId="0" applyFont="1" applyFill="1" applyAlignment="1">
      <alignment/>
    </xf>
    <xf numFmtId="14" fontId="6" fillId="39" borderId="13" xfId="63" applyNumberFormat="1" applyFont="1" applyFill="1" applyBorder="1" applyAlignment="1">
      <alignment horizontal="center"/>
      <protection/>
    </xf>
    <xf numFmtId="179" fontId="0" fillId="39" borderId="0" xfId="0" applyNumberFormat="1" applyFont="1" applyFill="1" applyBorder="1" applyAlignment="1" applyProtection="1">
      <alignment horizontal="center"/>
      <protection hidden="1"/>
    </xf>
    <xf numFmtId="0" fontId="6" fillId="39" borderId="0" xfId="0" applyFont="1" applyFill="1" applyAlignment="1">
      <alignment/>
    </xf>
    <xf numFmtId="0" fontId="6" fillId="0" borderId="0" xfId="0" applyFont="1" applyFill="1" applyAlignment="1">
      <alignment/>
    </xf>
    <xf numFmtId="191" fontId="6" fillId="33" borderId="0" xfId="0" applyNumberFormat="1" applyFont="1" applyFill="1" applyAlignment="1">
      <alignment/>
    </xf>
    <xf numFmtId="0" fontId="7" fillId="36" borderId="0" xfId="0" applyFont="1" applyFill="1" applyBorder="1" applyAlignment="1" applyProtection="1">
      <alignment horizontal="center" vertical="center"/>
      <protection hidden="1"/>
    </xf>
    <xf numFmtId="0" fontId="7" fillId="36" borderId="31" xfId="0" applyFont="1" applyFill="1" applyBorder="1" applyAlignment="1" applyProtection="1">
      <alignment horizontal="center"/>
      <protection hidden="1"/>
    </xf>
    <xf numFmtId="0" fontId="7" fillId="36" borderId="38" xfId="0" applyFont="1" applyFill="1" applyBorder="1" applyAlignment="1" applyProtection="1">
      <alignment horizontal="center"/>
      <protection hidden="1"/>
    </xf>
    <xf numFmtId="0" fontId="53" fillId="36" borderId="43" xfId="0" applyFont="1" applyFill="1" applyBorder="1" applyAlignment="1" applyProtection="1">
      <alignment horizontal="center"/>
      <protection hidden="1"/>
    </xf>
    <xf numFmtId="0" fontId="53" fillId="36" borderId="40"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0" borderId="44" xfId="0" applyFont="1" applyFill="1" applyBorder="1" applyAlignment="1" applyProtection="1">
      <alignment horizontal="center"/>
      <protection hidden="1"/>
    </xf>
    <xf numFmtId="176" fontId="0" fillId="0" borderId="29" xfId="70" applyNumberFormat="1" applyFont="1" applyFill="1" applyBorder="1" applyAlignment="1" applyProtection="1">
      <alignment horizontal="center" vertical="center" wrapText="1"/>
      <protection hidden="1"/>
    </xf>
    <xf numFmtId="0" fontId="0" fillId="0" borderId="45" xfId="0" applyFont="1" applyFill="1" applyBorder="1" applyAlignment="1" applyProtection="1">
      <alignment horizontal="center" vertical="center" wrapText="1"/>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84" fontId="17" fillId="33" borderId="46" xfId="66" applyNumberFormat="1" applyFont="1" applyFill="1" applyBorder="1" applyAlignment="1" applyProtection="1">
      <alignment horizontal="center"/>
      <protection/>
    </xf>
    <xf numFmtId="186" fontId="6" fillId="33" borderId="0" xfId="53" applyNumberFormat="1" applyFont="1" applyFill="1" applyAlignment="1">
      <alignment/>
    </xf>
    <xf numFmtId="184" fontId="17" fillId="37" borderId="46" xfId="66" applyNumberFormat="1" applyFont="1" applyFill="1" applyBorder="1" applyAlignment="1" applyProtection="1">
      <alignment horizontal="center"/>
      <protection/>
    </xf>
    <xf numFmtId="184" fontId="17" fillId="37" borderId="45" xfId="66" applyNumberFormat="1" applyFont="1" applyFill="1" applyBorder="1" applyAlignment="1" applyProtection="1">
      <alignment horizontal="center"/>
      <protection/>
    </xf>
    <xf numFmtId="184" fontId="0" fillId="40" borderId="47" xfId="0" applyNumberFormat="1" applyFont="1" applyFill="1" applyBorder="1" applyAlignment="1">
      <alignment/>
    </xf>
    <xf numFmtId="184" fontId="0" fillId="40" borderId="48" xfId="0" applyNumberFormat="1" applyFont="1" applyFill="1" applyBorder="1" applyAlignment="1">
      <alignment/>
    </xf>
    <xf numFmtId="184" fontId="0" fillId="0" borderId="47" xfId="0" applyNumberFormat="1" applyFont="1" applyFill="1" applyBorder="1" applyAlignment="1">
      <alignment/>
    </xf>
    <xf numFmtId="184" fontId="17" fillId="0" borderId="46" xfId="66" applyNumberFormat="1" applyFont="1" applyFill="1" applyBorder="1" applyAlignment="1" applyProtection="1">
      <alignment horizontal="center"/>
      <protection/>
    </xf>
    <xf numFmtId="184" fontId="0" fillId="41" borderId="47" xfId="0" applyNumberFormat="1" applyFont="1" applyFill="1" applyBorder="1" applyAlignment="1">
      <alignment/>
    </xf>
    <xf numFmtId="184" fontId="17" fillId="39" borderId="46" xfId="66" applyNumberFormat="1" applyFont="1" applyFill="1" applyBorder="1" applyAlignment="1" applyProtection="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Currency" xfId="56"/>
    <cellStyle name="Currency [0]" xfId="57"/>
    <cellStyle name="Moneda 2" xfId="58"/>
    <cellStyle name="Moneda 2 2" xfId="59"/>
    <cellStyle name="Moneda 3" xfId="60"/>
    <cellStyle name="Neutral" xfId="61"/>
    <cellStyle name="Normal 2" xfId="62"/>
    <cellStyle name="Normal 3" xfId="63"/>
    <cellStyle name="Notas" xfId="64"/>
    <cellStyle name="Percent" xfId="65"/>
    <cellStyle name="Porcentaje 2" xfId="66"/>
    <cellStyle name="Porcentaje 3" xfId="67"/>
    <cellStyle name="Porcentaje 4" xfId="68"/>
    <cellStyle name="Porcentaje 5" xfId="69"/>
    <cellStyle name="Porcentaje 8" xfId="70"/>
    <cellStyle name="Salida" xfId="71"/>
    <cellStyle name="Texto de advertencia" xfId="72"/>
    <cellStyle name="Texto explicativo" xfId="73"/>
    <cellStyle name="Título" xfId="74"/>
    <cellStyle name="Título 2" xfId="75"/>
    <cellStyle name="Título 3" xfId="76"/>
    <cellStyle name="Total" xfId="77"/>
  </cellStyles>
  <dxfs count="8">
    <dxf>
      <font>
        <b/>
        <i val="0"/>
      </font>
    </dxf>
    <dxf>
      <font>
        <b/>
        <i val="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38100</xdr:rowOff>
    </xdr:from>
    <xdr:to>
      <xdr:col>1</xdr:col>
      <xdr:colOff>2828925</xdr:colOff>
      <xdr:row>6</xdr:row>
      <xdr:rowOff>95250</xdr:rowOff>
    </xdr:to>
    <xdr:pic>
      <xdr:nvPicPr>
        <xdr:cNvPr id="1" name="2 Imagen"/>
        <xdr:cNvPicPr preferRelativeResize="1">
          <a:picLocks noChangeAspect="1"/>
        </xdr:cNvPicPr>
      </xdr:nvPicPr>
      <xdr:blipFill>
        <a:blip r:embed="rId1"/>
        <a:stretch>
          <a:fillRect/>
        </a:stretch>
      </xdr:blipFill>
      <xdr:spPr>
        <a:xfrm>
          <a:off x="152400" y="200025"/>
          <a:ext cx="2924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85" zoomScaleNormal="85" zoomScalePageLayoutView="0" workbookViewId="0" topLeftCell="A1">
      <selection activeCell="E7" sqref="E7"/>
    </sheetView>
  </sheetViews>
  <sheetFormatPr defaultColWidth="0" defaultRowHeight="12.75" zeroHeight="1"/>
  <cols>
    <col min="1" max="1" width="3.7109375" style="110" customWidth="1"/>
    <col min="2" max="2" width="49.140625" style="110" customWidth="1"/>
    <col min="3" max="3" width="33.8515625" style="110" customWidth="1"/>
    <col min="4" max="4" width="3.7109375" style="110" customWidth="1"/>
    <col min="5" max="5" width="64.28125" style="110" customWidth="1"/>
    <col min="6" max="6" width="20.7109375" style="110" bestFit="1" customWidth="1"/>
    <col min="7" max="7" width="9.7109375" style="110" hidden="1" customWidth="1"/>
    <col min="8" max="8" width="19.00390625" style="124" hidden="1" customWidth="1"/>
    <col min="9" max="10" width="8.140625" style="124" hidden="1" customWidth="1"/>
    <col min="11" max="11" width="8.140625" style="126" hidden="1" customWidth="1"/>
    <col min="12" max="255" width="8.140625" style="119" hidden="1" customWidth="1"/>
    <col min="256" max="16384" width="11.421875" style="119" hidden="1" customWidth="1"/>
  </cols>
  <sheetData>
    <row r="1" spans="1:11" ht="12.75">
      <c r="A1" s="117"/>
      <c r="B1" s="118"/>
      <c r="C1" s="118"/>
      <c r="D1" s="118"/>
      <c r="E1" s="118"/>
      <c r="F1" s="118"/>
      <c r="G1" s="118"/>
      <c r="H1" s="119" t="str">
        <f>+Características!B1</f>
        <v>TIS Pesos H-1 A 2026</v>
      </c>
      <c r="I1" s="119"/>
      <c r="J1" s="120"/>
      <c r="K1" s="121"/>
    </row>
    <row r="2" spans="1:10" ht="12.75">
      <c r="A2" s="117"/>
      <c r="B2" s="122"/>
      <c r="C2" s="200" t="s">
        <v>82</v>
      </c>
      <c r="D2" s="200"/>
      <c r="E2" s="200"/>
      <c r="F2" s="123"/>
      <c r="G2" s="123"/>
      <c r="J2" s="125"/>
    </row>
    <row r="3" spans="1:10" ht="15" customHeight="1">
      <c r="A3" s="117"/>
      <c r="B3" s="127"/>
      <c r="C3" s="128"/>
      <c r="D3" s="128"/>
      <c r="E3" s="127"/>
      <c r="F3" s="127"/>
      <c r="G3" s="127"/>
      <c r="J3" s="129"/>
    </row>
    <row r="4" spans="1:10" ht="15" customHeight="1">
      <c r="A4" s="117"/>
      <c r="B4" s="130"/>
      <c r="C4" s="98" t="s">
        <v>57</v>
      </c>
      <c r="D4" s="131"/>
      <c r="E4" s="132" t="s">
        <v>83</v>
      </c>
      <c r="G4" s="105"/>
      <c r="H4" s="119" t="s">
        <v>20</v>
      </c>
      <c r="J4" s="129"/>
    </row>
    <row r="5" spans="1:10" ht="15" customHeight="1">
      <c r="A5" s="117"/>
      <c r="B5" s="117"/>
      <c r="C5" s="99"/>
      <c r="F5" s="105"/>
      <c r="G5" s="105"/>
      <c r="H5" s="119" t="s">
        <v>38</v>
      </c>
      <c r="J5" s="129"/>
    </row>
    <row r="6" spans="1:10" ht="15" customHeight="1">
      <c r="A6" s="117"/>
      <c r="B6" s="130"/>
      <c r="C6" s="100" t="s">
        <v>58</v>
      </c>
      <c r="D6" s="100"/>
      <c r="E6" s="133">
        <v>45115</v>
      </c>
      <c r="F6" s="105"/>
      <c r="G6" s="105"/>
      <c r="H6" s="119" t="s">
        <v>39</v>
      </c>
      <c r="J6" s="129"/>
    </row>
    <row r="7" spans="1:10" ht="15" customHeight="1">
      <c r="A7" s="117"/>
      <c r="B7" s="117"/>
      <c r="C7" s="134"/>
      <c r="D7" s="134"/>
      <c r="E7" s="105"/>
      <c r="F7" s="105"/>
      <c r="G7" s="105"/>
      <c r="H7" s="119" t="s">
        <v>40</v>
      </c>
      <c r="J7" s="129"/>
    </row>
    <row r="8" spans="1:10" ht="27" customHeight="1">
      <c r="A8" s="117"/>
      <c r="B8" s="117"/>
      <c r="D8" s="105"/>
      <c r="E8" s="135" t="s">
        <v>81</v>
      </c>
      <c r="F8" s="116" t="s">
        <v>80</v>
      </c>
      <c r="G8" s="105"/>
      <c r="H8" s="136" t="s">
        <v>84</v>
      </c>
      <c r="J8" s="129"/>
    </row>
    <row r="9" spans="1:10" ht="15" customHeight="1">
      <c r="A9" s="117"/>
      <c r="B9" s="201" t="s">
        <v>59</v>
      </c>
      <c r="C9" s="202"/>
      <c r="D9" s="101"/>
      <c r="E9" s="203" t="s">
        <v>60</v>
      </c>
      <c r="F9" s="204"/>
      <c r="G9" s="105"/>
      <c r="H9" s="119" t="s">
        <v>21</v>
      </c>
      <c r="J9" s="129"/>
    </row>
    <row r="10" spans="1:10" ht="15" customHeight="1">
      <c r="A10" s="117"/>
      <c r="B10" s="102" t="s">
        <v>61</v>
      </c>
      <c r="C10" s="137" t="str">
        <f>+HLOOKUP(E4,Características!B1:C7,2,FALSE)</f>
        <v>TISAS1071226</v>
      </c>
      <c r="D10" s="138"/>
      <c r="E10" s="112" t="s">
        <v>72</v>
      </c>
      <c r="F10" s="139" t="s">
        <v>21</v>
      </c>
      <c r="G10" s="105"/>
      <c r="J10" s="129"/>
    </row>
    <row r="11" spans="1:10" ht="15" customHeight="1">
      <c r="A11" s="130"/>
      <c r="B11" s="103" t="s">
        <v>46</v>
      </c>
      <c r="C11" s="140">
        <f>+HLOOKUP(E4,Características!B1:C7,3,FALSE)</f>
        <v>0</v>
      </c>
      <c r="D11" s="138"/>
      <c r="E11" s="113" t="s">
        <v>73</v>
      </c>
      <c r="F11" s="141">
        <v>0.08995</v>
      </c>
      <c r="G11" s="105"/>
      <c r="J11" s="129"/>
    </row>
    <row r="12" spans="1:10" ht="15" customHeight="1">
      <c r="A12" s="130"/>
      <c r="B12" s="103" t="s">
        <v>62</v>
      </c>
      <c r="C12" s="142">
        <f>+HLOOKUP(E4,Características!B1:C7,4,1)</f>
        <v>42711</v>
      </c>
      <c r="D12" s="143"/>
      <c r="E12" s="114" t="s">
        <v>74</v>
      </c>
      <c r="F12" s="144">
        <v>100.039</v>
      </c>
      <c r="G12" s="105"/>
      <c r="J12" s="129"/>
    </row>
    <row r="13" spans="1:10" ht="12.75">
      <c r="A13" s="130"/>
      <c r="B13" s="103" t="s">
        <v>63</v>
      </c>
      <c r="C13" s="142">
        <f>+HLOOKUP(E4,Características!B1:C7,5,FALSE)</f>
        <v>46363</v>
      </c>
      <c r="D13" s="143"/>
      <c r="E13" s="115" t="s">
        <v>75</v>
      </c>
      <c r="F13" s="145">
        <v>100.039</v>
      </c>
      <c r="G13" s="105"/>
      <c r="J13" s="129"/>
    </row>
    <row r="14" spans="1:10" ht="12.75">
      <c r="A14" s="130"/>
      <c r="B14" s="103" t="s">
        <v>64</v>
      </c>
      <c r="C14" s="146">
        <f>Características!B6</f>
        <v>0.09</v>
      </c>
      <c r="D14" s="143"/>
      <c r="E14" s="102" t="s">
        <v>76</v>
      </c>
      <c r="F14" s="147">
        <f>+VLOOKUP(0,Flujos!D2:I182,6,0)</f>
        <v>45145</v>
      </c>
      <c r="G14" s="105"/>
      <c r="J14" s="129"/>
    </row>
    <row r="15" spans="1:10" ht="12.75">
      <c r="A15" s="130"/>
      <c r="B15" s="103" t="s">
        <v>65</v>
      </c>
      <c r="C15" s="146">
        <f>+ROUND(((1+C14)^(1/12)-1)*12,6)</f>
        <v>0.086488</v>
      </c>
      <c r="D15" s="143"/>
      <c r="E15" s="101" t="s">
        <v>77</v>
      </c>
      <c r="F15" s="148">
        <f>+Flujos!C183*100</f>
        <v>0.447161</v>
      </c>
      <c r="G15" s="105"/>
      <c r="J15" s="129"/>
    </row>
    <row r="16" spans="1:10" ht="12.75">
      <c r="A16" s="130"/>
      <c r="B16" s="104" t="s">
        <v>66</v>
      </c>
      <c r="C16" s="149" t="str">
        <f>+HLOOKUP(E4,Características!B1:C7,7,FALSE)</f>
        <v>COP</v>
      </c>
      <c r="D16" s="143"/>
      <c r="E16" s="113" t="s">
        <v>78</v>
      </c>
      <c r="F16" s="150">
        <v>919358865.5075</v>
      </c>
      <c r="G16" s="105"/>
      <c r="J16" s="129"/>
    </row>
    <row r="17" spans="1:10" ht="12.75">
      <c r="A17" s="117"/>
      <c r="B17" s="105"/>
      <c r="C17" s="105"/>
      <c r="D17" s="143"/>
      <c r="E17" s="115" t="s">
        <v>79</v>
      </c>
      <c r="F17" s="151">
        <f>+Características!B20</f>
        <v>919938062</v>
      </c>
      <c r="G17" s="105"/>
      <c r="J17" s="129"/>
    </row>
    <row r="18" spans="1:10" ht="16.5" customHeight="1">
      <c r="A18" s="130"/>
      <c r="B18" s="106" t="s">
        <v>67</v>
      </c>
      <c r="C18" s="152">
        <f>+SUMPRODUCT(Flujos!B2:B182,Flujos!C2:C182)/Flujos!C183/365</f>
        <v>0.0821917808219178</v>
      </c>
      <c r="D18" s="153"/>
      <c r="E18" s="105"/>
      <c r="F18" s="134"/>
      <c r="G18" s="105"/>
      <c r="J18" s="129"/>
    </row>
    <row r="19" spans="1:10" ht="16.5" customHeight="1">
      <c r="A19" s="130"/>
      <c r="B19" s="107" t="s">
        <v>68</v>
      </c>
      <c r="C19" s="154">
        <f>+SUMPRODUCT(Flujos!C2:C182,Flujos!K2:K182)/365</f>
        <v>3.2089451334246575</v>
      </c>
      <c r="D19" s="117"/>
      <c r="E19" s="105"/>
      <c r="F19" s="155"/>
      <c r="G19" s="105"/>
      <c r="J19" s="129"/>
    </row>
    <row r="20" spans="1:10" ht="16.5" customHeight="1">
      <c r="A20" s="130"/>
      <c r="B20" s="108" t="s">
        <v>69</v>
      </c>
      <c r="C20" s="154">
        <f>+SUMPRODUCT(Flujos!B2:B182,Flujos!H2:H182)/Flujos!H183/365</f>
        <v>0.0821917808219178</v>
      </c>
      <c r="D20" s="117"/>
      <c r="E20" s="105"/>
      <c r="F20" s="155"/>
      <c r="G20" s="105"/>
      <c r="J20" s="129"/>
    </row>
    <row r="21" spans="1:10" ht="16.5" customHeight="1">
      <c r="A21" s="130"/>
      <c r="B21" s="109" t="s">
        <v>70</v>
      </c>
      <c r="C21" s="156">
        <f>+C20/(1+F11)</f>
        <v>0.07540876262389816</v>
      </c>
      <c r="E21" s="105"/>
      <c r="F21" s="155"/>
      <c r="G21" s="105"/>
      <c r="J21" s="129"/>
    </row>
    <row r="22" ht="12.75">
      <c r="J22" s="129"/>
    </row>
    <row r="23" spans="2:10" ht="12.75">
      <c r="B23" s="111" t="s">
        <v>71</v>
      </c>
      <c r="C23" s="157">
        <f>Flujos!L2</f>
        <v>205599071812.50156</v>
      </c>
      <c r="J23" s="129"/>
    </row>
    <row r="24" spans="5:10" ht="12.75">
      <c r="E24" s="158"/>
      <c r="F24" s="159"/>
      <c r="J24" s="129"/>
    </row>
  </sheetData>
  <sheetProtection password="C5F9" sheet="1" objects="1" scenarios="1"/>
  <protectedRanges>
    <protectedRange sqref="E6 E4" name="Rango1"/>
  </protectedRanges>
  <mergeCells count="3">
    <mergeCell ref="C2:E2"/>
    <mergeCell ref="B9:C9"/>
    <mergeCell ref="E9:F9"/>
  </mergeCells>
  <dataValidations count="2">
    <dataValidation type="list" showInputMessage="1" showErrorMessage="1" sqref="E4">
      <formula1>$H$1</formula1>
    </dataValidation>
    <dataValidation type="list" allowBlank="1" showInputMessage="1" showErrorMessage="1" sqref="F10">
      <formula1>$H$4:$H$9</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ignoredErrors>
    <ignoredError sqref="F17" unlockedFormula="1"/>
    <ignoredError sqref="C11:C13 C15:C16" emptyCellReference="1"/>
  </ignoredErrors>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zoomScalePageLayoutView="0" workbookViewId="0" topLeftCell="A19">
      <selection activeCell="B39" sqref="B39"/>
    </sheetView>
  </sheetViews>
  <sheetFormatPr defaultColWidth="21.140625" defaultRowHeight="12.75"/>
  <cols>
    <col min="1" max="1" width="25.7109375" style="1" customWidth="1"/>
    <col min="2" max="2" width="26.421875" style="6" bestFit="1" customWidth="1"/>
    <col min="3" max="3" width="21.421875" style="6" bestFit="1" customWidth="1"/>
    <col min="4" max="4" width="21.140625" style="1" customWidth="1"/>
    <col min="5" max="6" width="11.00390625" style="1" bestFit="1" customWidth="1"/>
    <col min="7" max="16384" width="21.140625" style="1" customWidth="1"/>
  </cols>
  <sheetData>
    <row r="1" spans="1:6" ht="12.75">
      <c r="A1" s="26" t="s">
        <v>2</v>
      </c>
      <c r="B1" s="2" t="s">
        <v>83</v>
      </c>
      <c r="E1" s="3"/>
      <c r="F1" s="3"/>
    </row>
    <row r="2" spans="1:6" ht="12.75">
      <c r="A2" s="7" t="s">
        <v>12</v>
      </c>
      <c r="B2" s="82" t="s">
        <v>85</v>
      </c>
      <c r="E2" s="3"/>
      <c r="F2" s="3"/>
    </row>
    <row r="3" spans="1:6" ht="12.75">
      <c r="A3" s="7" t="s">
        <v>46</v>
      </c>
      <c r="B3" s="82"/>
      <c r="E3" s="3"/>
      <c r="F3" s="3"/>
    </row>
    <row r="4" spans="1:6" ht="12.75">
      <c r="A4" s="7" t="s">
        <v>13</v>
      </c>
      <c r="B4" s="4">
        <v>42711</v>
      </c>
      <c r="C4" s="80"/>
      <c r="E4" s="3"/>
      <c r="F4" s="3"/>
    </row>
    <row r="5" spans="1:6" ht="15">
      <c r="A5" s="7" t="s">
        <v>14</v>
      </c>
      <c r="B5" s="4">
        <v>46363</v>
      </c>
      <c r="C5" s="81"/>
      <c r="E5" s="3"/>
      <c r="F5" s="3"/>
    </row>
    <row r="6" spans="1:6" ht="12.75">
      <c r="A6" s="7" t="s">
        <v>15</v>
      </c>
      <c r="B6" s="84">
        <v>0.09</v>
      </c>
      <c r="C6" s="33"/>
      <c r="E6" s="3"/>
      <c r="F6" s="3"/>
    </row>
    <row r="7" spans="1:6" ht="13.5" thickBot="1">
      <c r="A7" s="17" t="s">
        <v>16</v>
      </c>
      <c r="B7" s="5" t="s">
        <v>17</v>
      </c>
      <c r="E7" s="3"/>
      <c r="F7" s="3"/>
    </row>
    <row r="8" spans="5:6" ht="13.5" thickBot="1">
      <c r="E8" s="3"/>
      <c r="F8" s="3"/>
    </row>
    <row r="9" spans="1:6" ht="13.5" thickBot="1">
      <c r="A9" s="205" t="s">
        <v>26</v>
      </c>
      <c r="B9" s="206"/>
      <c r="E9" s="3"/>
      <c r="F9" s="3"/>
    </row>
    <row r="10" spans="1:6" ht="12.75">
      <c r="A10" s="7" t="s">
        <v>4</v>
      </c>
      <c r="B10" s="8">
        <f>+'CALCULADORA TIS PESOS H-1'!E6</f>
        <v>45115</v>
      </c>
      <c r="E10" s="3"/>
      <c r="F10" s="3"/>
    </row>
    <row r="11" spans="1:6" ht="12.75">
      <c r="A11" s="7" t="s">
        <v>5</v>
      </c>
      <c r="B11" s="8">
        <f>+VLOOKUP(B10,Flujos!$A$2:$A$182,1)</f>
        <v>45114</v>
      </c>
      <c r="E11" s="3"/>
      <c r="F11" s="3"/>
    </row>
    <row r="12" spans="1:6" ht="12.75">
      <c r="A12" s="7" t="s">
        <v>6</v>
      </c>
      <c r="B12" s="9">
        <f>+VLOOKUP(B11,Flujos!$A$2:$D$182,4)</f>
        <v>0.447161</v>
      </c>
      <c r="E12" s="3"/>
      <c r="F12" s="3"/>
    </row>
    <row r="13" spans="1:6" ht="12.75">
      <c r="A13" s="7" t="s">
        <v>7</v>
      </c>
      <c r="B13" s="9">
        <f>+VLOOKUP(_XLL.FECHA.MES(B10,1),Flujos!$A$2:$F$182,6)</f>
        <v>0.003223</v>
      </c>
      <c r="E13" s="3"/>
      <c r="F13" s="3"/>
    </row>
    <row r="14" spans="1:6" ht="12.75">
      <c r="A14" s="7" t="s">
        <v>3</v>
      </c>
      <c r="B14" s="10">
        <f>+DAYS360(B11,B10,TRUE)</f>
        <v>1</v>
      </c>
      <c r="E14" s="3"/>
      <c r="F14" s="3"/>
    </row>
    <row r="15" spans="1:6" ht="12.75">
      <c r="A15" s="7" t="s">
        <v>8</v>
      </c>
      <c r="B15" s="10">
        <v>30</v>
      </c>
      <c r="E15" s="3"/>
      <c r="F15" s="3"/>
    </row>
    <row r="16" spans="1:6" ht="12.75">
      <c r="A16" s="7" t="s">
        <v>9</v>
      </c>
      <c r="B16" s="11">
        <f>ROUND(B13/B12*B14/B15*100,4)</f>
        <v>0.024</v>
      </c>
      <c r="E16" s="3"/>
      <c r="F16" s="3"/>
    </row>
    <row r="17" spans="1:6" ht="12.75">
      <c r="A17" s="7" t="s">
        <v>11</v>
      </c>
      <c r="B17" s="12">
        <f>+'CALCULADORA TIS PESOS H-1'!F12</f>
        <v>100.039</v>
      </c>
      <c r="E17" s="3"/>
      <c r="F17" s="3"/>
    </row>
    <row r="18" spans="1:6" ht="12.75">
      <c r="A18" s="7" t="s">
        <v>23</v>
      </c>
      <c r="B18" s="13">
        <f>+'CALCULADORA TIS PESOS H-1'!F16</f>
        <v>919358865.5075</v>
      </c>
      <c r="E18" s="3"/>
      <c r="F18" s="3"/>
    </row>
    <row r="19" spans="1:6" ht="12.75">
      <c r="A19" s="7" t="s">
        <v>16</v>
      </c>
      <c r="B19" s="11">
        <v>1</v>
      </c>
      <c r="E19" s="3"/>
      <c r="F19" s="3"/>
    </row>
    <row r="20" spans="1:6" ht="12.75">
      <c r="A20" s="7" t="s">
        <v>24</v>
      </c>
      <c r="B20" s="13">
        <f>ROUND(B18*B19*(B17+B16)/100,0)</f>
        <v>919938062</v>
      </c>
      <c r="C20" s="14"/>
      <c r="E20" s="3"/>
      <c r="F20" s="3"/>
    </row>
    <row r="21" spans="1:6" ht="12.75">
      <c r="A21" s="7" t="s">
        <v>25</v>
      </c>
      <c r="B21" s="15">
        <f>TRUNC(B20/B18,5)</f>
        <v>1.00063</v>
      </c>
      <c r="C21" s="16"/>
      <c r="E21" s="3"/>
      <c r="F21" s="3"/>
    </row>
    <row r="22" spans="1:6" ht="12.75">
      <c r="A22" s="7" t="s">
        <v>27</v>
      </c>
      <c r="B22" s="12">
        <f>TRUNC(B21/B19*100,3)</f>
        <v>100.063</v>
      </c>
      <c r="E22" s="3"/>
      <c r="F22" s="3"/>
    </row>
    <row r="23" spans="1:6" ht="12.75">
      <c r="A23" s="7" t="s">
        <v>28</v>
      </c>
      <c r="B23" s="12">
        <f>TRUNC(Flujos!H183/VLOOKUP('CALCULADORA TIS PESOS H-1'!E6,Flujos!A2:D182,4)*100,3)</f>
        <v>100.01</v>
      </c>
      <c r="E23" s="3"/>
      <c r="F23" s="3"/>
    </row>
    <row r="24" spans="1:6" ht="12.75">
      <c r="A24" s="7" t="s">
        <v>29</v>
      </c>
      <c r="B24" s="11">
        <f>+B22-B23</f>
        <v>0.05299999999999727</v>
      </c>
      <c r="E24" s="3"/>
      <c r="F24" s="3"/>
    </row>
    <row r="25" spans="1:6" ht="13.5" thickBot="1">
      <c r="A25" s="17" t="s">
        <v>30</v>
      </c>
      <c r="B25" s="18">
        <f>TRUNC('CALCULADORA TIS PESOS H-1'!F11,5)</f>
        <v>0.08995</v>
      </c>
      <c r="E25" s="3"/>
      <c r="F25" s="3"/>
    </row>
    <row r="26" spans="5:6" ht="13.5" thickBot="1">
      <c r="E26" s="3"/>
      <c r="F26" s="3"/>
    </row>
    <row r="27" spans="1:6" ht="13.5" thickBot="1">
      <c r="A27" s="205" t="s">
        <v>37</v>
      </c>
      <c r="B27" s="206"/>
      <c r="E27" s="3"/>
      <c r="F27" s="3"/>
    </row>
    <row r="28" spans="1:6" ht="12.75">
      <c r="A28" s="7" t="s">
        <v>31</v>
      </c>
      <c r="B28" s="19">
        <f>TRUNC('CALCULADORA TIS PESOS H-1'!F11,5)</f>
        <v>0.08995</v>
      </c>
      <c r="E28" s="3"/>
      <c r="F28" s="3"/>
    </row>
    <row r="29" spans="1:6" ht="12.75">
      <c r="A29" s="7" t="s">
        <v>28</v>
      </c>
      <c r="B29" s="12">
        <f>TRUNC(Flujos!H183/VLOOKUP('CALCULADORA TIS PESOS H-1'!E6,Flujos!A2:D182,4)*100,3)</f>
        <v>100.01</v>
      </c>
      <c r="E29" s="3"/>
      <c r="F29" s="3"/>
    </row>
    <row r="30" spans="1:6" ht="12.75">
      <c r="A30" s="1" t="s">
        <v>16</v>
      </c>
      <c r="B30" s="11">
        <v>1</v>
      </c>
      <c r="E30" s="3"/>
      <c r="F30" s="3"/>
    </row>
    <row r="31" spans="1:6" ht="12.75">
      <c r="A31" s="7" t="s">
        <v>23</v>
      </c>
      <c r="B31" s="13">
        <f>+'CALCULADORA TIS PESOS H-1'!F16</f>
        <v>919358865.5075</v>
      </c>
      <c r="E31" s="3"/>
      <c r="F31" s="3"/>
    </row>
    <row r="32" spans="1:6" ht="12.75">
      <c r="A32" s="7" t="s">
        <v>24</v>
      </c>
      <c r="B32" s="13">
        <f>+ROUND(B29/100*B31*B30,0)</f>
        <v>919450801</v>
      </c>
      <c r="E32" s="3"/>
      <c r="F32" s="3"/>
    </row>
    <row r="33" spans="1:6" ht="12.75">
      <c r="A33" s="7" t="s">
        <v>6</v>
      </c>
      <c r="B33" s="9">
        <f>+VLOOKUP(B11,Flujos!$A$2:$D$182,4)</f>
        <v>0.447161</v>
      </c>
      <c r="E33" s="3"/>
      <c r="F33" s="3"/>
    </row>
    <row r="34" spans="1:6" ht="12.75">
      <c r="A34" s="7" t="s">
        <v>7</v>
      </c>
      <c r="B34" s="9">
        <f>+VLOOKUP(_XLL.FECHA.MES(B10,1),Flujos!$A$2:$F$182,6)</f>
        <v>0.003223</v>
      </c>
      <c r="D34" s="20"/>
      <c r="E34" s="3"/>
      <c r="F34" s="3"/>
    </row>
    <row r="35" spans="1:6" ht="12.75">
      <c r="A35" s="7" t="s">
        <v>3</v>
      </c>
      <c r="B35" s="10">
        <f>+DAYS360(B11,B10,TRUE)</f>
        <v>1</v>
      </c>
      <c r="D35" s="21"/>
      <c r="E35" s="3"/>
      <c r="F35" s="3"/>
    </row>
    <row r="36" spans="1:6" ht="12.75">
      <c r="A36" s="7" t="s">
        <v>8</v>
      </c>
      <c r="B36" s="10">
        <v>30</v>
      </c>
      <c r="E36" s="3"/>
      <c r="F36" s="3"/>
    </row>
    <row r="37" spans="1:6" ht="12.75">
      <c r="A37" s="7" t="s">
        <v>25</v>
      </c>
      <c r="B37" s="15">
        <f>TRUNC(B32/(B30*B31),5)</f>
        <v>1.00009</v>
      </c>
      <c r="C37" s="22"/>
      <c r="E37" s="3"/>
      <c r="F37" s="3"/>
    </row>
    <row r="38" spans="1:6" ht="12.75">
      <c r="A38" s="7" t="s">
        <v>9</v>
      </c>
      <c r="B38" s="11">
        <f>ROUND(B34/B33*B35/B36,6)*100</f>
        <v>0.024</v>
      </c>
      <c r="E38" s="3"/>
      <c r="F38" s="3"/>
    </row>
    <row r="39" spans="1:6" ht="13.5" thickBot="1">
      <c r="A39" s="17" t="s">
        <v>11</v>
      </c>
      <c r="B39" s="23">
        <f>ROUND((B37-(B38/100))*100,3)</f>
        <v>99.985</v>
      </c>
      <c r="C39" s="24"/>
      <c r="E39" s="3"/>
      <c r="F39" s="3"/>
    </row>
    <row r="40" spans="2:6" ht="12.75">
      <c r="B40" s="24"/>
      <c r="E40" s="3"/>
      <c r="F40" s="3"/>
    </row>
    <row r="41" spans="2:6" ht="12.75">
      <c r="B41" s="22"/>
      <c r="E41" s="3"/>
      <c r="F41" s="3"/>
    </row>
    <row r="42" spans="2:6" ht="12.75">
      <c r="B42" s="2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78" spans="5:6" ht="12.75">
      <c r="E78" s="3"/>
      <c r="F78" s="3"/>
    </row>
    <row r="79" spans="5:6" ht="12.75">
      <c r="E79" s="3"/>
      <c r="F79" s="3"/>
    </row>
    <row r="80" spans="5:6" ht="12.75">
      <c r="E80" s="3"/>
      <c r="F80" s="3"/>
    </row>
    <row r="81" spans="5:6" ht="12.75">
      <c r="E81" s="3"/>
      <c r="F81" s="3"/>
    </row>
    <row r="82" spans="5:6" ht="12.75">
      <c r="E82" s="3"/>
      <c r="F82" s="3"/>
    </row>
    <row r="83" spans="5:6" ht="12.75">
      <c r="E83" s="3"/>
      <c r="F83" s="3"/>
    </row>
    <row r="84" spans="5:6" ht="12.75">
      <c r="E84" s="3"/>
      <c r="F84" s="3"/>
    </row>
    <row r="85" spans="5:6" ht="12.75">
      <c r="E85" s="3"/>
      <c r="F85" s="3"/>
    </row>
    <row r="86" spans="5:6" ht="12.75">
      <c r="E86" s="3"/>
      <c r="F86" s="3"/>
    </row>
    <row r="87" spans="5:6" ht="12.75">
      <c r="E87" s="3"/>
      <c r="F87" s="3"/>
    </row>
    <row r="88" spans="5:6" ht="12.75">
      <c r="E88" s="3"/>
      <c r="F88" s="3"/>
    </row>
    <row r="89" spans="5:6" ht="12.75">
      <c r="E89" s="3"/>
      <c r="F89" s="3"/>
    </row>
    <row r="90" spans="5:6" ht="12.75">
      <c r="E90" s="3"/>
      <c r="F90" s="3"/>
    </row>
    <row r="91" spans="5:6" ht="12.75">
      <c r="E91" s="3"/>
      <c r="F91" s="3"/>
    </row>
    <row r="92" spans="5:6" ht="12.75">
      <c r="E92" s="3"/>
      <c r="F92" s="3"/>
    </row>
    <row r="93" spans="5:6" ht="12.75">
      <c r="E93" s="3"/>
      <c r="F93" s="3"/>
    </row>
    <row r="94" spans="5:6" ht="12.75">
      <c r="E94" s="3"/>
      <c r="F94" s="3"/>
    </row>
    <row r="95" spans="5:6" ht="12.75">
      <c r="E95" s="3"/>
      <c r="F95" s="3"/>
    </row>
    <row r="96" spans="5:6" ht="12.75">
      <c r="E96" s="3"/>
      <c r="F96" s="3"/>
    </row>
    <row r="97" spans="5:6" ht="12.75">
      <c r="E97" s="3"/>
      <c r="F97" s="3"/>
    </row>
    <row r="98" spans="5:6" ht="12.75">
      <c r="E98" s="3"/>
      <c r="F98" s="3"/>
    </row>
    <row r="99" spans="5:6" ht="12.75">
      <c r="E99" s="3"/>
      <c r="F99" s="3"/>
    </row>
    <row r="100" spans="5:6" ht="12.75">
      <c r="E100" s="3"/>
      <c r="F100" s="3"/>
    </row>
    <row r="101" spans="5:6" ht="12.75">
      <c r="E101" s="3"/>
      <c r="F101" s="3"/>
    </row>
    <row r="102" spans="5:6" ht="12.75">
      <c r="E102" s="3"/>
      <c r="F102" s="3"/>
    </row>
    <row r="103" spans="5:6" ht="12.75">
      <c r="E103" s="3"/>
      <c r="F103" s="3"/>
    </row>
    <row r="104" spans="5:6" ht="12.75">
      <c r="E104" s="3"/>
      <c r="F104" s="3"/>
    </row>
    <row r="105" spans="5:6" ht="12.75">
      <c r="E105" s="3"/>
      <c r="F105" s="3"/>
    </row>
    <row r="106" spans="5:6" ht="12.75">
      <c r="E106" s="3"/>
      <c r="F106" s="3"/>
    </row>
    <row r="107" spans="5:6" ht="12.75">
      <c r="E107" s="3"/>
      <c r="F107" s="3"/>
    </row>
    <row r="108" spans="5:6" ht="12.75">
      <c r="E108" s="3"/>
      <c r="F108" s="3"/>
    </row>
    <row r="109" spans="5:6" ht="12.75">
      <c r="E109" s="3"/>
      <c r="F109" s="3"/>
    </row>
    <row r="110" spans="5:6" ht="12.75">
      <c r="E110" s="3"/>
      <c r="F110" s="3"/>
    </row>
    <row r="111" spans="5:6" ht="12.75">
      <c r="E111" s="3"/>
      <c r="F111" s="3"/>
    </row>
    <row r="112" spans="5:6" ht="12.75">
      <c r="E112" s="3"/>
      <c r="F112" s="3"/>
    </row>
    <row r="113" spans="5:6" ht="12.75">
      <c r="E113" s="3"/>
      <c r="F113" s="3"/>
    </row>
    <row r="114" spans="5:6" ht="12.75">
      <c r="E114" s="3"/>
      <c r="F114" s="3"/>
    </row>
    <row r="115" spans="5:6" ht="12.75">
      <c r="E115" s="3"/>
      <c r="F115" s="3"/>
    </row>
    <row r="116" spans="5:6" ht="12.75">
      <c r="E116" s="3"/>
      <c r="F116" s="3"/>
    </row>
    <row r="117" spans="5:6" ht="12.75">
      <c r="E117" s="3"/>
      <c r="F117" s="3"/>
    </row>
    <row r="118" spans="5:6" ht="12.75">
      <c r="E118" s="3"/>
      <c r="F118" s="3"/>
    </row>
    <row r="119" spans="5:6" ht="12.75">
      <c r="E119" s="3"/>
      <c r="F119" s="3"/>
    </row>
    <row r="120" spans="5:6" ht="12.75">
      <c r="E120" s="3"/>
      <c r="F120" s="3"/>
    </row>
    <row r="121" spans="5:6" ht="12.75">
      <c r="E121" s="3"/>
      <c r="F121" s="3"/>
    </row>
    <row r="122" spans="5:6" ht="12.75">
      <c r="E122" s="3"/>
      <c r="F122" s="3"/>
    </row>
    <row r="123" spans="5:6" ht="12.75">
      <c r="E123" s="3"/>
      <c r="F123" s="3"/>
    </row>
    <row r="124" spans="5:6" ht="12.75">
      <c r="E124" s="3"/>
      <c r="F124" s="3"/>
    </row>
    <row r="125" spans="5:6" ht="12.75">
      <c r="E125" s="3"/>
      <c r="F125" s="3"/>
    </row>
    <row r="126" spans="5:6" ht="12.75">
      <c r="E126" s="3"/>
      <c r="F126" s="3"/>
    </row>
    <row r="127" spans="5:6" ht="12.75">
      <c r="E127" s="3"/>
      <c r="F127" s="3"/>
    </row>
    <row r="128" spans="5:6" ht="12.75">
      <c r="E128" s="3"/>
      <c r="F128" s="3"/>
    </row>
    <row r="129" spans="5:6" ht="12.75">
      <c r="E129" s="3"/>
      <c r="F129" s="3"/>
    </row>
    <row r="130" spans="5:6" ht="12.75">
      <c r="E130" s="3"/>
      <c r="F130" s="3"/>
    </row>
    <row r="131" spans="5:6" ht="12.75">
      <c r="E131" s="3"/>
      <c r="F131" s="3"/>
    </row>
    <row r="132" spans="5:6" ht="12.75">
      <c r="E132" s="3"/>
      <c r="F132" s="3"/>
    </row>
    <row r="133" spans="5:6" ht="12.75">
      <c r="E133" s="3"/>
      <c r="F133" s="3"/>
    </row>
    <row r="134" spans="5:6" ht="12.75">
      <c r="E134" s="3"/>
      <c r="F134" s="3"/>
    </row>
    <row r="135" spans="5:6" ht="12.75">
      <c r="E135" s="3"/>
      <c r="F135" s="3"/>
    </row>
    <row r="136" spans="5:6" ht="12.75">
      <c r="E136" s="3"/>
      <c r="F136" s="3"/>
    </row>
    <row r="137" spans="5:6" ht="12.75">
      <c r="E137" s="3"/>
      <c r="F137" s="3"/>
    </row>
    <row r="138" spans="5:6" ht="12.75">
      <c r="E138" s="3"/>
      <c r="F138" s="3"/>
    </row>
    <row r="139" spans="5:6" ht="12.75">
      <c r="E139" s="3"/>
      <c r="F139" s="3"/>
    </row>
    <row r="140" spans="5:6" ht="12.75">
      <c r="E140" s="3"/>
      <c r="F140" s="3"/>
    </row>
    <row r="141" spans="5:6" ht="12.75">
      <c r="E141" s="3"/>
      <c r="F141" s="3"/>
    </row>
    <row r="142" spans="5:6" ht="12.75">
      <c r="E142" s="3"/>
      <c r="F142" s="3"/>
    </row>
    <row r="143" spans="5:6" ht="12.75">
      <c r="E143" s="3"/>
      <c r="F143" s="3"/>
    </row>
    <row r="144" spans="5:6" ht="12.75">
      <c r="E144" s="3"/>
      <c r="F144" s="3"/>
    </row>
    <row r="145" spans="5:6" ht="12.75">
      <c r="E145" s="3"/>
      <c r="F145" s="3"/>
    </row>
    <row r="146" spans="5:6" ht="12.75">
      <c r="E146" s="3"/>
      <c r="F146" s="3"/>
    </row>
    <row r="147" spans="5:6" ht="12.75">
      <c r="E147" s="3"/>
      <c r="F147" s="3"/>
    </row>
    <row r="148" spans="5:6" ht="12.75">
      <c r="E148" s="3"/>
      <c r="F148" s="3"/>
    </row>
    <row r="149" spans="5:6" ht="12.75">
      <c r="E149" s="3"/>
      <c r="F149" s="3"/>
    </row>
    <row r="150" spans="5:6" ht="12.75">
      <c r="E150" s="3"/>
      <c r="F150" s="3"/>
    </row>
    <row r="151" spans="5:6" ht="12.75">
      <c r="E151" s="3"/>
      <c r="F151" s="3"/>
    </row>
    <row r="152" spans="5:6" ht="12.75">
      <c r="E152" s="3"/>
      <c r="F152" s="3"/>
    </row>
    <row r="153" spans="5:6" ht="12.75">
      <c r="E153" s="3"/>
      <c r="F153" s="3"/>
    </row>
    <row r="154" spans="5:6" ht="12.75">
      <c r="E154" s="3"/>
      <c r="F154" s="3"/>
    </row>
    <row r="155" spans="5:6" ht="12.75">
      <c r="E155" s="3"/>
      <c r="F155" s="3"/>
    </row>
    <row r="156" spans="5:6" ht="12.75">
      <c r="E156" s="3"/>
      <c r="F156" s="3"/>
    </row>
    <row r="157" spans="5:6" ht="12.75">
      <c r="E157" s="3"/>
      <c r="F157" s="3"/>
    </row>
    <row r="158" spans="5:6" ht="12.75">
      <c r="E158" s="3"/>
      <c r="F158" s="3"/>
    </row>
    <row r="159" spans="5:6" ht="12.75">
      <c r="E159" s="3"/>
      <c r="F159" s="3"/>
    </row>
    <row r="160" spans="5:6" ht="12.75">
      <c r="E160" s="3"/>
      <c r="F160" s="3"/>
    </row>
    <row r="161" spans="5:6" ht="12.75">
      <c r="E161" s="3"/>
      <c r="F161" s="3"/>
    </row>
    <row r="162" spans="5:6" ht="12.75">
      <c r="E162" s="3"/>
      <c r="F162" s="3"/>
    </row>
    <row r="163" spans="5:6" ht="12.75">
      <c r="E163" s="3"/>
      <c r="F163" s="3"/>
    </row>
    <row r="164" spans="5:6" ht="12.75">
      <c r="E164" s="3"/>
      <c r="F164" s="3"/>
    </row>
    <row r="165" spans="5:6" ht="12.75">
      <c r="E165" s="3"/>
      <c r="F165" s="3"/>
    </row>
    <row r="166" spans="5:6" ht="12.75">
      <c r="E166" s="3"/>
      <c r="F166" s="3"/>
    </row>
    <row r="167" spans="5:6" ht="12.75">
      <c r="E167" s="3"/>
      <c r="F167" s="3"/>
    </row>
    <row r="168" spans="5:6" ht="12.75">
      <c r="E168" s="3"/>
      <c r="F168" s="3"/>
    </row>
    <row r="169" spans="5:6" ht="12.75">
      <c r="E169" s="3"/>
      <c r="F169" s="3"/>
    </row>
    <row r="170" spans="5:6" ht="12.75">
      <c r="E170" s="3"/>
      <c r="F170" s="3"/>
    </row>
    <row r="171" spans="5:6" ht="12.75">
      <c r="E171" s="3"/>
      <c r="F171" s="3"/>
    </row>
    <row r="172" spans="5:6" ht="12.75">
      <c r="E172" s="3"/>
      <c r="F172" s="3"/>
    </row>
    <row r="173" spans="5:6" ht="12.75">
      <c r="E173" s="3"/>
      <c r="F173" s="3"/>
    </row>
    <row r="174" spans="5:6" ht="12.75">
      <c r="E174" s="3"/>
      <c r="F174" s="3"/>
    </row>
    <row r="175" spans="5:6" ht="12.75">
      <c r="E175" s="3"/>
      <c r="F175" s="3"/>
    </row>
    <row r="176" spans="5:6" ht="12.75">
      <c r="E176" s="3"/>
      <c r="F176" s="3"/>
    </row>
    <row r="177" spans="5:6" ht="12.75">
      <c r="E177" s="3"/>
      <c r="F177" s="3"/>
    </row>
    <row r="178" spans="5:6" ht="12.75">
      <c r="E178" s="3"/>
      <c r="F178" s="3"/>
    </row>
    <row r="179" spans="5:6" ht="12.75">
      <c r="E179" s="3"/>
      <c r="F179" s="3"/>
    </row>
    <row r="180" spans="5:6" ht="12.75">
      <c r="E180" s="3"/>
      <c r="F180" s="3"/>
    </row>
    <row r="181" spans="5:6" ht="12.75">
      <c r="E181" s="3"/>
      <c r="F181" s="3"/>
    </row>
    <row r="182" spans="5:6" ht="12.75">
      <c r="E182" s="3"/>
      <c r="F182" s="3"/>
    </row>
    <row r="183" spans="5:6" ht="12.75">
      <c r="E183" s="3"/>
      <c r="F183" s="3"/>
    </row>
    <row r="184" spans="5:6" ht="12.75">
      <c r="E184" s="3"/>
      <c r="F184" s="3"/>
    </row>
    <row r="185" spans="5:6" ht="12.75">
      <c r="E185" s="3"/>
      <c r="F185" s="3"/>
    </row>
    <row r="186" spans="5:6" ht="12.75">
      <c r="E186" s="3"/>
      <c r="F186" s="3"/>
    </row>
    <row r="187" spans="5:6" ht="12.75">
      <c r="E187" s="3"/>
      <c r="F187" s="3"/>
    </row>
    <row r="188" spans="5:6" ht="12.75">
      <c r="E188" s="3"/>
      <c r="F188" s="3"/>
    </row>
    <row r="189" spans="5:6" ht="12.75">
      <c r="E189" s="3"/>
      <c r="F189" s="3"/>
    </row>
    <row r="190" spans="5:6" ht="12.75">
      <c r="E190" s="3"/>
      <c r="F190" s="3"/>
    </row>
    <row r="191" spans="5:6" ht="12.75">
      <c r="E191" s="3"/>
      <c r="F191" s="3"/>
    </row>
    <row r="192" spans="5:6" ht="12.75">
      <c r="E192" s="3"/>
      <c r="F192" s="3"/>
    </row>
    <row r="193" spans="5:6" ht="12.75">
      <c r="E193" s="3"/>
      <c r="F193" s="3"/>
    </row>
    <row r="194" spans="5:6" ht="12.75">
      <c r="E194" s="3"/>
      <c r="F194" s="3"/>
    </row>
    <row r="195" spans="5:6" ht="12.75">
      <c r="E195" s="3"/>
      <c r="F195" s="3"/>
    </row>
    <row r="196" spans="5:6" ht="12.75">
      <c r="E196" s="3"/>
      <c r="F196" s="3"/>
    </row>
    <row r="197" spans="5:6" ht="12.75">
      <c r="E197" s="3"/>
      <c r="F197" s="3"/>
    </row>
    <row r="198" spans="5:6" ht="12.75">
      <c r="E198" s="3"/>
      <c r="F198" s="3"/>
    </row>
    <row r="199" spans="5:6" ht="12.75">
      <c r="E199" s="3"/>
      <c r="F199" s="3"/>
    </row>
    <row r="200" spans="5:6" ht="12.75">
      <c r="E200" s="3"/>
      <c r="F200" s="3"/>
    </row>
    <row r="201" spans="5:6" ht="12.75">
      <c r="E201" s="3"/>
      <c r="F201" s="3"/>
    </row>
    <row r="202" spans="5:6" ht="12.75">
      <c r="E202" s="3"/>
      <c r="F202" s="3"/>
    </row>
    <row r="203" spans="5:6" ht="12.75">
      <c r="E203" s="3"/>
      <c r="F203" s="3"/>
    </row>
    <row r="204" spans="5:6" ht="12.75">
      <c r="E204" s="3"/>
      <c r="F204" s="3"/>
    </row>
    <row r="205" spans="5:6" ht="12.75">
      <c r="E205" s="3"/>
      <c r="F205" s="3"/>
    </row>
    <row r="206" spans="5:6" ht="12.75">
      <c r="E206" s="3"/>
      <c r="F206" s="3"/>
    </row>
    <row r="207" spans="5:6" ht="12.75">
      <c r="E207" s="3"/>
      <c r="F207" s="3"/>
    </row>
    <row r="208" spans="5:6" ht="12.75">
      <c r="E208" s="3"/>
      <c r="F208" s="3"/>
    </row>
    <row r="209" spans="5:6" ht="12.75">
      <c r="E209" s="3"/>
      <c r="F209" s="3"/>
    </row>
    <row r="210" spans="5:6" ht="12.75">
      <c r="E210" s="3"/>
      <c r="F210" s="3"/>
    </row>
    <row r="211" spans="5:6" ht="12.75">
      <c r="E211" s="3"/>
      <c r="F211" s="3"/>
    </row>
    <row r="212" spans="5:6" ht="12.75">
      <c r="E212" s="3"/>
      <c r="F212" s="3"/>
    </row>
    <row r="213" spans="5:6" ht="12.75">
      <c r="E213" s="3"/>
      <c r="F213" s="3"/>
    </row>
    <row r="214" spans="5:6" ht="12.75">
      <c r="E214" s="3"/>
      <c r="F214" s="3"/>
    </row>
    <row r="215" spans="5:6" ht="12.75">
      <c r="E215" s="3"/>
      <c r="F215" s="3"/>
    </row>
    <row r="216" spans="5:6" ht="12.75">
      <c r="E216" s="3"/>
      <c r="F216" s="3"/>
    </row>
    <row r="217" spans="5:6" ht="12.75">
      <c r="E217" s="3"/>
      <c r="F217" s="3"/>
    </row>
    <row r="218" spans="5:6" ht="12.75">
      <c r="E218" s="3"/>
      <c r="F218" s="3"/>
    </row>
    <row r="219" spans="5:6" ht="12.75">
      <c r="E219" s="3"/>
      <c r="F219" s="3"/>
    </row>
    <row r="220" spans="5:6" ht="12.75">
      <c r="E220" s="3"/>
      <c r="F220" s="3"/>
    </row>
    <row r="221" spans="5:6" ht="12.75">
      <c r="E221" s="3"/>
      <c r="F221" s="3"/>
    </row>
    <row r="222" spans="5:6" ht="12.75">
      <c r="E222" s="3"/>
      <c r="F222" s="3"/>
    </row>
    <row r="223" spans="5:6" ht="12.75">
      <c r="E223" s="3"/>
      <c r="F223" s="3"/>
    </row>
    <row r="224" spans="5:6" ht="12.75">
      <c r="E224" s="3"/>
      <c r="F224" s="3"/>
    </row>
    <row r="225" spans="5:6" ht="12.75">
      <c r="E225" s="3"/>
      <c r="F225" s="3"/>
    </row>
    <row r="226" spans="5:6" ht="12.75">
      <c r="E226" s="3"/>
      <c r="F226" s="3"/>
    </row>
    <row r="227" spans="5:6" ht="12.75">
      <c r="E227" s="3"/>
      <c r="F227" s="3"/>
    </row>
    <row r="228" spans="5:6" ht="12.75">
      <c r="E228" s="3"/>
      <c r="F228" s="3"/>
    </row>
    <row r="229" spans="5:6" ht="12.75">
      <c r="E229" s="3"/>
      <c r="F229" s="3"/>
    </row>
    <row r="230" spans="5:6" ht="12.75">
      <c r="E230" s="3"/>
      <c r="F230" s="3"/>
    </row>
    <row r="231" spans="5:6" ht="12.75">
      <c r="E231" s="3"/>
      <c r="F231" s="3"/>
    </row>
    <row r="232" spans="5:6" ht="12.75">
      <c r="E232" s="3"/>
      <c r="F232" s="3"/>
    </row>
    <row r="233" spans="5:6" ht="12.75">
      <c r="E233" s="3"/>
      <c r="F233" s="3"/>
    </row>
    <row r="234" spans="5:6" ht="12.75">
      <c r="E234" s="3"/>
      <c r="F234" s="3"/>
    </row>
    <row r="235" spans="5:6" ht="12.75">
      <c r="E235" s="3"/>
      <c r="F235" s="3"/>
    </row>
    <row r="236" spans="5:6" ht="12.75">
      <c r="E236" s="3"/>
      <c r="F236" s="3"/>
    </row>
    <row r="237" spans="5:6" ht="12.75">
      <c r="E237" s="3"/>
      <c r="F237" s="3"/>
    </row>
    <row r="238" spans="5:6" ht="12.75">
      <c r="E238" s="3"/>
      <c r="F238" s="3"/>
    </row>
    <row r="239" spans="5:6" ht="12.75">
      <c r="E239" s="3"/>
      <c r="F239" s="3"/>
    </row>
    <row r="240" spans="5:6" ht="12.75">
      <c r="E240" s="3"/>
      <c r="F240" s="3"/>
    </row>
    <row r="65536" ht="12.75">
      <c r="E65536" s="3"/>
    </row>
  </sheetData>
  <sheetProtection password="C5F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183"/>
  <sheetViews>
    <sheetView zoomScalePageLayoutView="0" workbookViewId="0" topLeftCell="A56">
      <selection activeCell="L81" sqref="L81"/>
    </sheetView>
  </sheetViews>
  <sheetFormatPr defaultColWidth="0" defaultRowHeight="12.75"/>
  <cols>
    <col min="1" max="1" width="10.8515625" style="57" bestFit="1" customWidth="1"/>
    <col min="2" max="2" width="10.00390625" style="34" customWidth="1"/>
    <col min="3" max="3" width="20.421875" style="61" bestFit="1" customWidth="1"/>
    <col min="4" max="4" width="14.28125" style="61" hidden="1" customWidth="1"/>
    <col min="5" max="5" width="15.57421875" style="34" hidden="1" customWidth="1"/>
    <col min="6" max="6" width="17.8515625" style="34" hidden="1" customWidth="1"/>
    <col min="7" max="7" width="13.8515625" style="34" hidden="1" customWidth="1"/>
    <col min="8" max="8" width="12.57421875" style="34" hidden="1" customWidth="1"/>
    <col min="9" max="9" width="10.140625" style="57" hidden="1" customWidth="1"/>
    <col min="10" max="10" width="12.140625" style="57" hidden="1" customWidth="1"/>
    <col min="11" max="11" width="14.57421875" style="57" hidden="1" customWidth="1"/>
    <col min="12" max="12" width="21.00390625" style="34" bestFit="1" customWidth="1"/>
    <col min="13" max="13" width="19.00390625" style="34" bestFit="1" customWidth="1"/>
    <col min="14" max="14" width="17.421875" style="34" bestFit="1" customWidth="1"/>
    <col min="15" max="15" width="19.00390625" style="34" bestFit="1" customWidth="1"/>
    <col min="16" max="16384" width="0" style="34" hidden="1" customWidth="1"/>
  </cols>
  <sheetData>
    <row r="1" spans="1:15" s="62" customFormat="1" ht="26.25" thickBot="1">
      <c r="A1" s="90" t="s">
        <v>50</v>
      </c>
      <c r="B1" s="91" t="s">
        <v>51</v>
      </c>
      <c r="C1" s="92" t="s">
        <v>52</v>
      </c>
      <c r="D1" s="92" t="s">
        <v>32</v>
      </c>
      <c r="E1" s="91" t="s">
        <v>33</v>
      </c>
      <c r="F1" s="91" t="s">
        <v>34</v>
      </c>
      <c r="G1" s="91" t="s">
        <v>35</v>
      </c>
      <c r="H1" s="93" t="s">
        <v>10</v>
      </c>
      <c r="I1" s="94" t="s">
        <v>18</v>
      </c>
      <c r="J1" s="95" t="s">
        <v>19</v>
      </c>
      <c r="K1" s="96" t="s">
        <v>22</v>
      </c>
      <c r="L1" s="90" t="s">
        <v>53</v>
      </c>
      <c r="M1" s="92" t="s">
        <v>54</v>
      </c>
      <c r="N1" s="92" t="s">
        <v>55</v>
      </c>
      <c r="O1" s="97" t="s">
        <v>56</v>
      </c>
    </row>
    <row r="2" spans="1:15" s="63" customFormat="1" ht="12.75">
      <c r="A2" s="78">
        <v>42711</v>
      </c>
      <c r="B2" s="64">
        <f>IF(DIAS365('CALCULADORA TIS PESOS H-1'!$E$6,A2)&lt;0,0,DIAS365('CALCULADORA TIS PESOS H-1'!$E$6,A2))</f>
        <v>0</v>
      </c>
      <c r="C2" s="65">
        <v>0</v>
      </c>
      <c r="D2" s="83">
        <f>+'CALCULADORA TIS PESOS H-1'!F15/Flujos!C183</f>
        <v>100</v>
      </c>
      <c r="E2" s="66">
        <v>0</v>
      </c>
      <c r="F2" s="66">
        <v>0</v>
      </c>
      <c r="G2" s="66">
        <f>F2+E2</f>
        <v>0</v>
      </c>
      <c r="H2" s="67">
        <f>IF($B2&lt;0,0,G2/POWER(1+'CALCULADORA TIS PESOS H-1'!$F$11,Flujos!$B2/365))</f>
        <v>0</v>
      </c>
      <c r="I2" s="68">
        <f>+A2</f>
        <v>42711</v>
      </c>
      <c r="J2" s="6">
        <v>0</v>
      </c>
      <c r="K2" s="69">
        <v>0</v>
      </c>
      <c r="L2" s="73">
        <f>Características!B18/C183</f>
        <v>205599071812.50156</v>
      </c>
      <c r="M2" s="70">
        <v>0</v>
      </c>
      <c r="N2" s="70">
        <v>0</v>
      </c>
      <c r="O2" s="71">
        <f>+N2+M2</f>
        <v>0</v>
      </c>
    </row>
    <row r="3" spans="1:15" s="63" customFormat="1" ht="12.75">
      <c r="A3" s="161">
        <v>42742</v>
      </c>
      <c r="B3" s="64">
        <f>IF(DIAS365('CALCULADORA TIS PESOS H-1'!$E$6,A3)&lt;0,0,DIAS365('CALCULADORA TIS PESOS H-1'!$E$6,A3))</f>
        <v>0</v>
      </c>
      <c r="C3" s="65">
        <f>+HLOOKUP('CALCULADORA TIS PESOS H-1'!$E$4,Tablas!$B$1:$B$181,Flujos!J3+1,FALSE)</f>
        <v>0.01284154</v>
      </c>
      <c r="D3" s="83">
        <f>IF(+ROUND(D2-E3,15)&lt;0.000009,0,ROUND(D2-E3,15))</f>
        <v>98.715846</v>
      </c>
      <c r="E3" s="66">
        <f>ROUND(C3*$D$2,6)</f>
        <v>1.284154</v>
      </c>
      <c r="F3" s="66">
        <f>ROUND(D2*ROUND(((1+'CALCULADORA TIS PESOS H-1'!$C$14)^(1/12)-1),6),6)</f>
        <v>0.7207</v>
      </c>
      <c r="G3" s="66">
        <f>F3+E3</f>
        <v>2.004854</v>
      </c>
      <c r="H3" s="67">
        <f>IF($B3=0,0,G3/POWER(1+'CALCULADORA TIS PESOS H-1'!$F$11,Flujos!$B3/365))</f>
        <v>0</v>
      </c>
      <c r="I3" s="68">
        <f aca="true" t="shared" si="0" ref="I3:I66">+A3</f>
        <v>42742</v>
      </c>
      <c r="J3" s="6">
        <v>1</v>
      </c>
      <c r="K3" s="69">
        <f>+DIAS365($A$2,A3)</f>
        <v>31</v>
      </c>
      <c r="L3" s="73">
        <f>IF(+(L2-M3)&lt;0,0,(L2-M3))</f>
        <v>202958863107.85846</v>
      </c>
      <c r="M3" s="70">
        <f>+$L$2*C3</f>
        <v>2640208704.643111</v>
      </c>
      <c r="N3" s="70">
        <f>+L2*$F$3%</f>
        <v>1481752510.5526986</v>
      </c>
      <c r="O3" s="71">
        <f>+N3+M3</f>
        <v>4121961215.19581</v>
      </c>
    </row>
    <row r="4" spans="1:15" s="63" customFormat="1" ht="12.75">
      <c r="A4" s="161">
        <v>42773</v>
      </c>
      <c r="B4" s="64">
        <f>IF(DIAS365('CALCULADORA TIS PESOS H-1'!$E$6,A4)&lt;0,0,DIAS365('CALCULADORA TIS PESOS H-1'!$E$6,A4))</f>
        <v>0</v>
      </c>
      <c r="C4" s="65">
        <f>+HLOOKUP('CALCULADORA TIS PESOS H-1'!$E$4,Tablas!$B$1:$B$181,Flujos!J4+1,FALSE)</f>
        <v>0.01607811</v>
      </c>
      <c r="D4" s="83">
        <f aca="true" t="shared" si="1" ref="D4:D67">IF(+ROUND(D3-E4,15)&lt;0.000009,0,ROUND(D3-E4,15))</f>
        <v>97.108035</v>
      </c>
      <c r="E4" s="66">
        <f aca="true" t="shared" si="2" ref="E4:E67">ROUND(C4*$D$2,6)</f>
        <v>1.607811</v>
      </c>
      <c r="F4" s="66">
        <f>ROUND(D3*ROUND(((1+'CALCULADORA TIS PESOS H-1'!$C$14)^(1/12)-1),6),6)</f>
        <v>0.711445</v>
      </c>
      <c r="G4" s="66">
        <f aca="true" t="shared" si="3" ref="G4:G67">F4+E4</f>
        <v>2.319256</v>
      </c>
      <c r="H4" s="67">
        <f>IF($B4=0,0,G4/POWER(1+'CALCULADORA TIS PESOS H-1'!$F$11,Flujos!$B4/365))</f>
        <v>0</v>
      </c>
      <c r="I4" s="68">
        <f t="shared" si="0"/>
        <v>42773</v>
      </c>
      <c r="J4" s="6">
        <v>2</v>
      </c>
      <c r="K4" s="69">
        <f aca="true" t="shared" si="4" ref="K4:K67">+DIAS365($A$2,A4)</f>
        <v>62</v>
      </c>
      <c r="L4" s="73">
        <f aca="true" t="shared" si="5" ref="L4:L67">IF(+(L3-M4)&lt;0,0,(L3-M4))</f>
        <v>199653218615.35916</v>
      </c>
      <c r="M4" s="70">
        <f aca="true" t="shared" si="6" ref="M4:M67">+$L$2*C4</f>
        <v>3305644492.4992995</v>
      </c>
      <c r="N4" s="70">
        <f aca="true" t="shared" si="7" ref="N4:N67">+L3*$F$3%</f>
        <v>1462724526.418336</v>
      </c>
      <c r="O4" s="71">
        <f aca="true" t="shared" si="8" ref="O4:O67">+N4+M4</f>
        <v>4768369018.917635</v>
      </c>
    </row>
    <row r="5" spans="1:15" s="63" customFormat="1" ht="12.75">
      <c r="A5" s="161">
        <v>42801</v>
      </c>
      <c r="B5" s="64">
        <f>IF(DIAS365('CALCULADORA TIS PESOS H-1'!$E$6,A5)&lt;0,0,DIAS365('CALCULADORA TIS PESOS H-1'!$E$6,A5))</f>
        <v>0</v>
      </c>
      <c r="C5" s="65">
        <f>+HLOOKUP('CALCULADORA TIS PESOS H-1'!$E$4,Tablas!$B$1:$B$181,Flujos!J5+1,FALSE)</f>
        <v>0.01414138</v>
      </c>
      <c r="D5" s="83">
        <f t="shared" si="1"/>
        <v>95.693897</v>
      </c>
      <c r="E5" s="66">
        <f t="shared" si="2"/>
        <v>1.414138</v>
      </c>
      <c r="F5" s="66">
        <f>ROUND(D4*ROUND(((1+'CALCULADORA TIS PESOS H-1'!$C$14)^(1/12)-1),6),6)</f>
        <v>0.699858</v>
      </c>
      <c r="G5" s="66">
        <f t="shared" si="3"/>
        <v>2.1139959999999998</v>
      </c>
      <c r="H5" s="67">
        <f>IF($B5=0,0,G5/POWER(1+'CALCULADORA TIS PESOS H-1'!$F$11,Flujos!$B5/365))</f>
        <v>0</v>
      </c>
      <c r="I5" s="68">
        <f t="shared" si="0"/>
        <v>42801</v>
      </c>
      <c r="J5" s="6">
        <v>3</v>
      </c>
      <c r="K5" s="69">
        <f t="shared" si="4"/>
        <v>90</v>
      </c>
      <c r="L5" s="73">
        <f t="shared" si="5"/>
        <v>196745764013.21127</v>
      </c>
      <c r="M5" s="70">
        <f t="shared" si="6"/>
        <v>2907454602.1478734</v>
      </c>
      <c r="N5" s="70">
        <f t="shared" si="7"/>
        <v>1438900746.5608935</v>
      </c>
      <c r="O5" s="71">
        <f t="shared" si="8"/>
        <v>4346355348.708767</v>
      </c>
    </row>
    <row r="6" spans="1:15" s="63" customFormat="1" ht="12.75">
      <c r="A6" s="78">
        <v>42832</v>
      </c>
      <c r="B6" s="64">
        <f>IF(DIAS365('CALCULADORA TIS PESOS H-1'!$E$6,A6)&lt;0,0,DIAS365('CALCULADORA TIS PESOS H-1'!$E$6,A6))</f>
        <v>0</v>
      </c>
      <c r="C6" s="65">
        <f>+HLOOKUP('CALCULADORA TIS PESOS H-1'!$E$4,Tablas!$B$1:$B$181,Flujos!J6+1,FALSE)</f>
        <v>0.00908298</v>
      </c>
      <c r="D6" s="83">
        <f t="shared" si="1"/>
        <v>94.785599</v>
      </c>
      <c r="E6" s="66">
        <f t="shared" si="2"/>
        <v>0.908298</v>
      </c>
      <c r="F6" s="66">
        <f>ROUND(D5*ROUND(((1+'CALCULADORA TIS PESOS H-1'!$C$14)^(1/12)-1),6),6)</f>
        <v>0.689666</v>
      </c>
      <c r="G6" s="66">
        <f t="shared" si="3"/>
        <v>1.5979640000000002</v>
      </c>
      <c r="H6" s="67">
        <f>IF($B6=0,0,G6/POWER(1+'CALCULADORA TIS PESOS H-1'!$F$11,Flujos!$B6/365))</f>
        <v>0</v>
      </c>
      <c r="I6" s="68">
        <f t="shared" si="0"/>
        <v>42832</v>
      </c>
      <c r="J6" s="6">
        <v>4</v>
      </c>
      <c r="K6" s="69">
        <f t="shared" si="4"/>
        <v>121</v>
      </c>
      <c r="L6" s="73">
        <f t="shared" si="5"/>
        <v>194878311755.91977</v>
      </c>
      <c r="M6" s="70">
        <f t="shared" si="6"/>
        <v>1867452257.291515</v>
      </c>
      <c r="N6" s="70">
        <f t="shared" si="7"/>
        <v>1417946721.2432137</v>
      </c>
      <c r="O6" s="71">
        <f t="shared" si="8"/>
        <v>3285398978.534729</v>
      </c>
    </row>
    <row r="7" spans="1:15" s="27" customFormat="1" ht="12.75">
      <c r="A7" s="78">
        <v>42862</v>
      </c>
      <c r="B7" s="64">
        <f>IF(DIAS365('CALCULADORA TIS PESOS H-1'!$E$6,A7)&lt;0,0,DIAS365('CALCULADORA TIS PESOS H-1'!$E$6,A7))</f>
        <v>0</v>
      </c>
      <c r="C7" s="65">
        <f>+HLOOKUP('CALCULADORA TIS PESOS H-1'!$E$4,Tablas!$B$1:$B$181,Flujos!J7+1,FALSE)</f>
        <v>0.01300211</v>
      </c>
      <c r="D7" s="83">
        <f t="shared" si="1"/>
        <v>93.485388</v>
      </c>
      <c r="E7" s="66">
        <f t="shared" si="2"/>
        <v>1.300211</v>
      </c>
      <c r="F7" s="66">
        <f>ROUND(D6*ROUND(((1+'CALCULADORA TIS PESOS H-1'!$C$14)^(1/12)-1),6),6)</f>
        <v>0.68312</v>
      </c>
      <c r="G7" s="66">
        <f t="shared" si="3"/>
        <v>1.983331</v>
      </c>
      <c r="H7" s="67">
        <f>IF($B7=0,0,G7/POWER(1+'CALCULADORA TIS PESOS H-1'!$F$11,Flujos!$B7/365))</f>
        <v>0</v>
      </c>
      <c r="I7" s="68">
        <f t="shared" si="0"/>
        <v>42862</v>
      </c>
      <c r="J7" s="6">
        <v>5</v>
      </c>
      <c r="K7" s="69">
        <f t="shared" si="4"/>
        <v>151</v>
      </c>
      <c r="L7" s="73">
        <f t="shared" si="5"/>
        <v>192205090008.31573</v>
      </c>
      <c r="M7" s="70">
        <f t="shared" si="6"/>
        <v>2673221747.604045</v>
      </c>
      <c r="N7" s="70">
        <f t="shared" si="7"/>
        <v>1404487992.8249137</v>
      </c>
      <c r="O7" s="71">
        <f t="shared" si="8"/>
        <v>4077709740.428959</v>
      </c>
    </row>
    <row r="8" spans="1:15" s="79" customFormat="1" ht="12.75">
      <c r="A8" s="78">
        <v>42893</v>
      </c>
      <c r="B8" s="64">
        <f>IF(DIAS365('CALCULADORA TIS PESOS H-1'!$E$6,A8)&lt;0,0,DIAS365('CALCULADORA TIS PESOS H-1'!$E$6,A8))</f>
        <v>0</v>
      </c>
      <c r="C8" s="65">
        <f>+HLOOKUP('CALCULADORA TIS PESOS H-1'!$E$4,Tablas!$B$1:$B$181,Flujos!J8+1,FALSE)</f>
        <v>0.0153048</v>
      </c>
      <c r="D8" s="83">
        <f t="shared" si="1"/>
        <v>91.954908</v>
      </c>
      <c r="E8" s="66">
        <f t="shared" si="2"/>
        <v>1.53048</v>
      </c>
      <c r="F8" s="66">
        <f>ROUND(D7*ROUND(((1+'CALCULADORA TIS PESOS H-1'!$C$14)^(1/12)-1),6),6)</f>
        <v>0.673749</v>
      </c>
      <c r="G8" s="66">
        <f t="shared" si="3"/>
        <v>2.204229</v>
      </c>
      <c r="H8" s="67">
        <f>IF($B8=0,0,G8/POWER(1+'CALCULADORA TIS PESOS H-1'!$F$11,Flujos!$B8/365))</f>
        <v>0</v>
      </c>
      <c r="I8" s="68">
        <f t="shared" si="0"/>
        <v>42893</v>
      </c>
      <c r="J8" s="6">
        <v>6</v>
      </c>
      <c r="K8" s="69">
        <f t="shared" si="4"/>
        <v>182</v>
      </c>
      <c r="L8" s="73">
        <f t="shared" si="5"/>
        <v>189058437334.03976</v>
      </c>
      <c r="M8" s="70">
        <f t="shared" si="6"/>
        <v>3146652674.275974</v>
      </c>
      <c r="N8" s="70">
        <f t="shared" si="7"/>
        <v>1385222083.6899314</v>
      </c>
      <c r="O8" s="71">
        <f t="shared" si="8"/>
        <v>4531874757.965905</v>
      </c>
    </row>
    <row r="9" spans="1:15" s="79" customFormat="1" ht="12.75">
      <c r="A9" s="78">
        <v>42923</v>
      </c>
      <c r="B9" s="64">
        <f>IF(DIAS365('CALCULADORA TIS PESOS H-1'!$E$6,A9)&lt;0,0,DIAS365('CALCULADORA TIS PESOS H-1'!$E$6,A9))</f>
        <v>0</v>
      </c>
      <c r="C9" s="65">
        <f>+HLOOKUP('CALCULADORA TIS PESOS H-1'!$E$4,Tablas!$B$1:$B$181,Flujos!J9+1,FALSE)</f>
        <v>0.01756414</v>
      </c>
      <c r="D9" s="83">
        <f t="shared" si="1"/>
        <v>90.198494</v>
      </c>
      <c r="E9" s="66">
        <f t="shared" si="2"/>
        <v>1.756414</v>
      </c>
      <c r="F9" s="66">
        <f>ROUND(D8*ROUND(((1+'CALCULADORA TIS PESOS H-1'!$C$14)^(1/12)-1),6),6)</f>
        <v>0.662719</v>
      </c>
      <c r="G9" s="66">
        <f t="shared" si="3"/>
        <v>2.419133</v>
      </c>
      <c r="H9" s="67">
        <f>IF($B9=0,0,G9/POWER(1+'CALCULADORA TIS PESOS H-1'!$F$11,Flujos!$B9/365))</f>
        <v>0</v>
      </c>
      <c r="I9" s="68">
        <f t="shared" si="0"/>
        <v>42923</v>
      </c>
      <c r="J9" s="6">
        <v>7</v>
      </c>
      <c r="K9" s="69">
        <f t="shared" si="4"/>
        <v>212</v>
      </c>
      <c r="L9" s="73">
        <f t="shared" si="5"/>
        <v>185447266452.85492</v>
      </c>
      <c r="M9" s="70">
        <f t="shared" si="6"/>
        <v>3611170881.1848307</v>
      </c>
      <c r="N9" s="70">
        <f t="shared" si="7"/>
        <v>1362544157.8664246</v>
      </c>
      <c r="O9" s="71">
        <f t="shared" si="8"/>
        <v>4973715039.051255</v>
      </c>
    </row>
    <row r="10" spans="1:15" s="27" customFormat="1" ht="12.75">
      <c r="A10" s="78">
        <v>42954</v>
      </c>
      <c r="B10" s="64">
        <f>IF(DIAS365('CALCULADORA TIS PESOS H-1'!$E$6,A10)&lt;0,0,DIAS365('CALCULADORA TIS PESOS H-1'!$E$6,A10))</f>
        <v>0</v>
      </c>
      <c r="C10" s="65">
        <f>+HLOOKUP('CALCULADORA TIS PESOS H-1'!$E$4,Tablas!$B$1:$B$181,Flujos!J10+1,FALSE)</f>
        <v>0.00977019</v>
      </c>
      <c r="D10" s="83">
        <f t="shared" si="1"/>
        <v>89.221475</v>
      </c>
      <c r="E10" s="66">
        <f t="shared" si="2"/>
        <v>0.977019</v>
      </c>
      <c r="F10" s="66">
        <f>ROUND(D9*ROUND(((1+'CALCULADORA TIS PESOS H-1'!$C$14)^(1/12)-1),6),6)</f>
        <v>0.650061</v>
      </c>
      <c r="G10" s="66">
        <f t="shared" si="3"/>
        <v>1.6270799999999999</v>
      </c>
      <c r="H10" s="67">
        <f>IF($B10=0,0,G10/POWER(1+'CALCULADORA TIS PESOS H-1'!$F$11,Flujos!$B10/365))</f>
        <v>0</v>
      </c>
      <c r="I10" s="68">
        <f t="shared" si="0"/>
        <v>42954</v>
      </c>
      <c r="J10" s="6">
        <v>8</v>
      </c>
      <c r="K10" s="69">
        <f t="shared" si="4"/>
        <v>243</v>
      </c>
      <c r="L10" s="73">
        <f t="shared" si="5"/>
        <v>183438524457.42313</v>
      </c>
      <c r="M10" s="70">
        <f t="shared" si="6"/>
        <v>2008741995.4317846</v>
      </c>
      <c r="N10" s="70">
        <f t="shared" si="7"/>
        <v>1336518449.3257253</v>
      </c>
      <c r="O10" s="71">
        <f t="shared" si="8"/>
        <v>3345260444.75751</v>
      </c>
    </row>
    <row r="11" spans="1:15" s="27" customFormat="1" ht="12.75">
      <c r="A11" s="78">
        <v>42985</v>
      </c>
      <c r="B11" s="64">
        <f>IF(DIAS365('CALCULADORA TIS PESOS H-1'!$E$6,A11)&lt;0,0,DIAS365('CALCULADORA TIS PESOS H-1'!$E$6,A11))</f>
        <v>0</v>
      </c>
      <c r="C11" s="65">
        <f>+HLOOKUP('CALCULADORA TIS PESOS H-1'!$E$4,Tablas!$B$1:$B$181,Flujos!J11+1,FALSE)</f>
        <v>0.01133641</v>
      </c>
      <c r="D11" s="83">
        <f t="shared" si="1"/>
        <v>88.087834</v>
      </c>
      <c r="E11" s="66">
        <f t="shared" si="2"/>
        <v>1.133641</v>
      </c>
      <c r="F11" s="66">
        <f>ROUND(D10*ROUND(((1+'CALCULADORA TIS PESOS H-1'!$C$14)^(1/12)-1),6),6)</f>
        <v>0.643019</v>
      </c>
      <c r="G11" s="66">
        <f t="shared" si="3"/>
        <v>1.77666</v>
      </c>
      <c r="H11" s="67">
        <f>IF($B11=0,0,G11/POWER(1+'CALCULADORA TIS PESOS H-1'!$F$11,Flujos!$B11/365))</f>
        <v>0</v>
      </c>
      <c r="I11" s="68">
        <f t="shared" si="0"/>
        <v>42985</v>
      </c>
      <c r="J11" s="6">
        <v>9</v>
      </c>
      <c r="K11" s="69">
        <f t="shared" si="4"/>
        <v>274</v>
      </c>
      <c r="L11" s="73">
        <f t="shared" si="5"/>
        <v>181107769083.73715</v>
      </c>
      <c r="M11" s="70">
        <f t="shared" si="6"/>
        <v>2330755373.685961</v>
      </c>
      <c r="N11" s="70">
        <f t="shared" si="7"/>
        <v>1322041445.7646484</v>
      </c>
      <c r="O11" s="71">
        <f t="shared" si="8"/>
        <v>3652796819.450609</v>
      </c>
    </row>
    <row r="12" spans="1:15" s="27" customFormat="1" ht="12.75">
      <c r="A12" s="78">
        <v>43015</v>
      </c>
      <c r="B12" s="64">
        <f>IF(DIAS365('CALCULADORA TIS PESOS H-1'!$E$6,A12)&lt;0,0,DIAS365('CALCULADORA TIS PESOS H-1'!$E$6,A12))</f>
        <v>0</v>
      </c>
      <c r="C12" s="65">
        <f>+HLOOKUP('CALCULADORA TIS PESOS H-1'!$E$4,Tablas!$B$1:$B$181,Flujos!J12+1,FALSE)</f>
        <v>0.01554462</v>
      </c>
      <c r="D12" s="83">
        <f t="shared" si="1"/>
        <v>86.533372</v>
      </c>
      <c r="E12" s="66">
        <f t="shared" si="2"/>
        <v>1.554462</v>
      </c>
      <c r="F12" s="66">
        <f>ROUND(D11*ROUND(((1+'CALCULADORA TIS PESOS H-1'!$C$14)^(1/12)-1),6),6)</f>
        <v>0.634849</v>
      </c>
      <c r="G12" s="66">
        <f t="shared" si="3"/>
        <v>2.189311</v>
      </c>
      <c r="H12" s="67">
        <f>IF($B12=0,0,G12/POWER(1+'CALCULADORA TIS PESOS H-1'!$F$11,Flujos!$B12/365))</f>
        <v>0</v>
      </c>
      <c r="I12" s="68">
        <f t="shared" si="0"/>
        <v>43015</v>
      </c>
      <c r="J12" s="6">
        <v>10</v>
      </c>
      <c r="K12" s="69">
        <f t="shared" si="4"/>
        <v>304</v>
      </c>
      <c r="L12" s="73">
        <f t="shared" si="5"/>
        <v>177911809640.0591</v>
      </c>
      <c r="M12" s="70">
        <f t="shared" si="6"/>
        <v>3195959443.678048</v>
      </c>
      <c r="N12" s="70">
        <f t="shared" si="7"/>
        <v>1305243691.7864935</v>
      </c>
      <c r="O12" s="71">
        <f t="shared" si="8"/>
        <v>4501203135.464541</v>
      </c>
    </row>
    <row r="13" spans="1:15" s="27" customFormat="1" ht="12.75">
      <c r="A13" s="78">
        <v>43046</v>
      </c>
      <c r="B13" s="64">
        <f>IF(DIAS365('CALCULADORA TIS PESOS H-1'!$E$6,A13)&lt;0,0,DIAS365('CALCULADORA TIS PESOS H-1'!$E$6,A13))</f>
        <v>0</v>
      </c>
      <c r="C13" s="65">
        <f>+HLOOKUP('CALCULADORA TIS PESOS H-1'!$E$4,Tablas!$B$1:$B$181,Flujos!J13+1,FALSE)</f>
        <v>0.01137033</v>
      </c>
      <c r="D13" s="83">
        <f t="shared" si="1"/>
        <v>85.396339</v>
      </c>
      <c r="E13" s="66">
        <f t="shared" si="2"/>
        <v>1.137033</v>
      </c>
      <c r="F13" s="66">
        <f>ROUND(D12*ROUND(((1+'CALCULADORA TIS PESOS H-1'!$C$14)^(1/12)-1),6),6)</f>
        <v>0.623646</v>
      </c>
      <c r="G13" s="66">
        <f t="shared" si="3"/>
        <v>1.760679</v>
      </c>
      <c r="H13" s="67">
        <f>IF($B13=0,0,G13/POWER(1+'CALCULADORA TIS PESOS H-1'!$F$11,Flujos!$B13/365))</f>
        <v>0</v>
      </c>
      <c r="I13" s="68">
        <f t="shared" si="0"/>
        <v>43046</v>
      </c>
      <c r="J13" s="6">
        <v>11</v>
      </c>
      <c r="K13" s="69">
        <f t="shared" si="4"/>
        <v>335</v>
      </c>
      <c r="L13" s="73">
        <f t="shared" si="5"/>
        <v>175574080345.85727</v>
      </c>
      <c r="M13" s="70">
        <f t="shared" si="6"/>
        <v>2337729294.201841</v>
      </c>
      <c r="N13" s="70">
        <f t="shared" si="7"/>
        <v>1282210412.075906</v>
      </c>
      <c r="O13" s="71">
        <f t="shared" si="8"/>
        <v>3619939706.277747</v>
      </c>
    </row>
    <row r="14" spans="1:15" s="27" customFormat="1" ht="12.75">
      <c r="A14" s="78">
        <v>43076</v>
      </c>
      <c r="B14" s="64">
        <f>IF(DIAS365('CALCULADORA TIS PESOS H-1'!$E$6,A14)&lt;0,0,DIAS365('CALCULADORA TIS PESOS H-1'!$E$6,A14))</f>
        <v>0</v>
      </c>
      <c r="C14" s="65">
        <f>+HLOOKUP('CALCULADORA TIS PESOS H-1'!$E$4,Tablas!$B$1:$B$181,Flujos!J14+1,FALSE)</f>
        <v>0.01359955</v>
      </c>
      <c r="D14" s="83">
        <f t="shared" si="1"/>
        <v>84.036384</v>
      </c>
      <c r="E14" s="66">
        <f t="shared" si="2"/>
        <v>1.359955</v>
      </c>
      <c r="F14" s="66">
        <f>ROUND(D13*ROUND(((1+'CALCULADORA TIS PESOS H-1'!$C$14)^(1/12)-1),6),6)</f>
        <v>0.615451</v>
      </c>
      <c r="G14" s="66">
        <f t="shared" si="3"/>
        <v>1.975406</v>
      </c>
      <c r="H14" s="67">
        <f>IF($B14=0,0,G14/POWER(1+'CALCULADORA TIS PESOS H-1'!$F$11,Flujos!$B14/365))</f>
        <v>0</v>
      </c>
      <c r="I14" s="68">
        <f t="shared" si="0"/>
        <v>43076</v>
      </c>
      <c r="J14" s="6">
        <v>12</v>
      </c>
      <c r="K14" s="69">
        <f t="shared" si="4"/>
        <v>365</v>
      </c>
      <c r="L14" s="73">
        <f t="shared" si="5"/>
        <v>172778025488.78955</v>
      </c>
      <c r="M14" s="70">
        <f t="shared" si="6"/>
        <v>2796054857.0677056</v>
      </c>
      <c r="N14" s="70">
        <f t="shared" si="7"/>
        <v>1265362397.0525932</v>
      </c>
      <c r="O14" s="71">
        <f t="shared" si="8"/>
        <v>4061417254.120299</v>
      </c>
    </row>
    <row r="15" spans="1:15" s="27" customFormat="1" ht="12.75">
      <c r="A15" s="78">
        <v>43107</v>
      </c>
      <c r="B15" s="64">
        <f>IF(DIAS365('CALCULADORA TIS PESOS H-1'!$E$6,A15)&lt;0,0,DIAS365('CALCULADORA TIS PESOS H-1'!$E$6,A15))</f>
        <v>0</v>
      </c>
      <c r="C15" s="65">
        <f>+HLOOKUP('CALCULADORA TIS PESOS H-1'!$E$4,Tablas!$B$1:$B$181,Flujos!J15+1,FALSE)</f>
        <v>0.01440922</v>
      </c>
      <c r="D15" s="83">
        <f t="shared" si="1"/>
        <v>82.595462</v>
      </c>
      <c r="E15" s="66">
        <f t="shared" si="2"/>
        <v>1.440922</v>
      </c>
      <c r="F15" s="66">
        <f>ROUND(D14*ROUND(((1+'CALCULADORA TIS PESOS H-1'!$C$14)^(1/12)-1),6),6)</f>
        <v>0.60565</v>
      </c>
      <c r="G15" s="66">
        <f t="shared" si="3"/>
        <v>2.0465720000000003</v>
      </c>
      <c r="H15" s="67">
        <f>IF($B15=0,0,G15/POWER(1+'CALCULADORA TIS PESOS H-1'!$F$11,Flujos!$B15/365))</f>
        <v>0</v>
      </c>
      <c r="I15" s="68">
        <f t="shared" si="0"/>
        <v>43107</v>
      </c>
      <c r="J15" s="6">
        <v>13</v>
      </c>
      <c r="K15" s="69">
        <f t="shared" si="4"/>
        <v>396</v>
      </c>
      <c r="L15" s="73">
        <f t="shared" si="5"/>
        <v>169815503231.2474</v>
      </c>
      <c r="M15" s="70">
        <f t="shared" si="6"/>
        <v>2962522257.542134</v>
      </c>
      <c r="N15" s="70">
        <f t="shared" si="7"/>
        <v>1245211229.6977062</v>
      </c>
      <c r="O15" s="71">
        <f t="shared" si="8"/>
        <v>4207733487.23984</v>
      </c>
    </row>
    <row r="16" spans="1:15" s="27" customFormat="1" ht="12.75">
      <c r="A16" s="78">
        <v>43138</v>
      </c>
      <c r="B16" s="64">
        <f>IF(DIAS365('CALCULADORA TIS PESOS H-1'!$E$6,A16)&lt;0,0,DIAS365('CALCULADORA TIS PESOS H-1'!$E$6,A16))</f>
        <v>0</v>
      </c>
      <c r="C16" s="65">
        <f>+HLOOKUP('CALCULADORA TIS PESOS H-1'!$E$4,Tablas!$B$1:$B$181,Flujos!J16+1,FALSE)</f>
        <v>0.01274202</v>
      </c>
      <c r="D16" s="83">
        <f t="shared" si="1"/>
        <v>81.32126</v>
      </c>
      <c r="E16" s="66">
        <f t="shared" si="2"/>
        <v>1.274202</v>
      </c>
      <c r="F16" s="66">
        <f>ROUND(D15*ROUND(((1+'CALCULADORA TIS PESOS H-1'!$C$14)^(1/12)-1),6),6)</f>
        <v>0.595265</v>
      </c>
      <c r="G16" s="66">
        <f t="shared" si="3"/>
        <v>1.8694670000000002</v>
      </c>
      <c r="H16" s="67">
        <f>IF($B16=0,0,G16/POWER(1+'CALCULADORA TIS PESOS H-1'!$F$11,Flujos!$B16/365))</f>
        <v>0</v>
      </c>
      <c r="I16" s="68">
        <f t="shared" si="0"/>
        <v>43138</v>
      </c>
      <c r="J16" s="6">
        <v>14</v>
      </c>
      <c r="K16" s="69">
        <f t="shared" si="4"/>
        <v>427</v>
      </c>
      <c r="L16" s="73">
        <f t="shared" si="5"/>
        <v>167195755746.23108</v>
      </c>
      <c r="M16" s="70">
        <f t="shared" si="6"/>
        <v>2619747485.016331</v>
      </c>
      <c r="N16" s="70">
        <f t="shared" si="7"/>
        <v>1223860331.7876</v>
      </c>
      <c r="O16" s="71">
        <f t="shared" si="8"/>
        <v>3843607816.803931</v>
      </c>
    </row>
    <row r="17" spans="1:15" s="27" customFormat="1" ht="12.75">
      <c r="A17" s="78">
        <v>43166</v>
      </c>
      <c r="B17" s="64">
        <f>IF(DIAS365('CALCULADORA TIS PESOS H-1'!$E$6,A17)&lt;0,0,DIAS365('CALCULADORA TIS PESOS H-1'!$E$6,A17))</f>
        <v>0</v>
      </c>
      <c r="C17" s="65">
        <f>+HLOOKUP('CALCULADORA TIS PESOS H-1'!$E$4,Tablas!$B$1:$B$181,Flujos!J17+1,FALSE)</f>
        <v>0.01410382</v>
      </c>
      <c r="D17" s="83">
        <f t="shared" si="1"/>
        <v>79.910878</v>
      </c>
      <c r="E17" s="66">
        <f t="shared" si="2"/>
        <v>1.410382</v>
      </c>
      <c r="F17" s="66">
        <f>ROUND(D16*ROUND(((1+'CALCULADORA TIS PESOS H-1'!$C$14)^(1/12)-1),6),6)</f>
        <v>0.586082</v>
      </c>
      <c r="G17" s="66">
        <f t="shared" si="3"/>
        <v>1.996464</v>
      </c>
      <c r="H17" s="67">
        <f>IF($B17=0,0,G17/POWER(1+'CALCULADORA TIS PESOS H-1'!$F$11,Flujos!$B17/365))</f>
        <v>0</v>
      </c>
      <c r="I17" s="68">
        <f t="shared" si="0"/>
        <v>43166</v>
      </c>
      <c r="J17" s="6">
        <v>15</v>
      </c>
      <c r="K17" s="69">
        <f t="shared" si="4"/>
        <v>455</v>
      </c>
      <c r="L17" s="73">
        <f t="shared" si="5"/>
        <v>164296023445.2205</v>
      </c>
      <c r="M17" s="70">
        <f t="shared" si="6"/>
        <v>2899732301.010596</v>
      </c>
      <c r="N17" s="70">
        <f t="shared" si="7"/>
        <v>1204979811.6630874</v>
      </c>
      <c r="O17" s="71">
        <f t="shared" si="8"/>
        <v>4104712112.673683</v>
      </c>
    </row>
    <row r="18" spans="1:15" s="27" customFormat="1" ht="12.75">
      <c r="A18" s="78">
        <v>43197</v>
      </c>
      <c r="B18" s="64">
        <f>IF(DIAS365('CALCULADORA TIS PESOS H-1'!$E$6,A18)&lt;0,0,DIAS365('CALCULADORA TIS PESOS H-1'!$E$6,A18))</f>
        <v>0</v>
      </c>
      <c r="C18" s="65">
        <f>+HLOOKUP('CALCULADORA TIS PESOS H-1'!$E$4,Tablas!$B$1:$B$181,Flujos!J18+1,FALSE)</f>
        <v>0.01118991</v>
      </c>
      <c r="D18" s="83">
        <f t="shared" si="1"/>
        <v>78.791887</v>
      </c>
      <c r="E18" s="66">
        <f t="shared" si="2"/>
        <v>1.118991</v>
      </c>
      <c r="F18" s="66">
        <f>ROUND(D17*ROUND(((1+'CALCULADORA TIS PESOS H-1'!$C$14)^(1/12)-1),6),6)</f>
        <v>0.575918</v>
      </c>
      <c r="G18" s="66">
        <f t="shared" si="3"/>
        <v>1.694909</v>
      </c>
      <c r="H18" s="67">
        <f>IF($B18=0,0,G18/POWER(1+'CALCULADORA TIS PESOS H-1'!$F$11,Flujos!$B18/365))</f>
        <v>0</v>
      </c>
      <c r="I18" s="68">
        <f t="shared" si="0"/>
        <v>43197</v>
      </c>
      <c r="J18" s="6">
        <v>16</v>
      </c>
      <c r="K18" s="69">
        <f t="shared" si="4"/>
        <v>486</v>
      </c>
      <c r="L18" s="73">
        <f t="shared" si="5"/>
        <v>161995388335.55505</v>
      </c>
      <c r="M18" s="70">
        <f t="shared" si="6"/>
        <v>2300635109.6654296</v>
      </c>
      <c r="N18" s="70">
        <f t="shared" si="7"/>
        <v>1184081440.9697042</v>
      </c>
      <c r="O18" s="71">
        <f t="shared" si="8"/>
        <v>3484716550.6351337</v>
      </c>
    </row>
    <row r="19" spans="1:15" s="27" customFormat="1" ht="12.75">
      <c r="A19" s="78">
        <v>43227</v>
      </c>
      <c r="B19" s="64">
        <f>IF(DIAS365('CALCULADORA TIS PESOS H-1'!$E$6,A19)&lt;0,0,DIAS365('CALCULADORA TIS PESOS H-1'!$E$6,A19))</f>
        <v>0</v>
      </c>
      <c r="C19" s="65">
        <f>+HLOOKUP('CALCULADORA TIS PESOS H-1'!$E$4,Tablas!$B$1:$B$181,Flujos!J19+1,FALSE)</f>
        <v>0.01238639</v>
      </c>
      <c r="D19" s="83">
        <f t="shared" si="1"/>
        <v>77.553248</v>
      </c>
      <c r="E19" s="66">
        <f t="shared" si="2"/>
        <v>1.238639</v>
      </c>
      <c r="F19" s="66">
        <f>ROUND(D18*ROUND(((1+'CALCULADORA TIS PESOS H-1'!$C$14)^(1/12)-1),6),6)</f>
        <v>0.567853</v>
      </c>
      <c r="G19" s="66">
        <f t="shared" si="3"/>
        <v>1.806492</v>
      </c>
      <c r="H19" s="67">
        <f>IF($B19=0,0,G19/POWER(1+'CALCULADORA TIS PESOS H-1'!$F$11,Flujos!$B19/365))</f>
        <v>0</v>
      </c>
      <c r="I19" s="68">
        <f t="shared" si="0"/>
        <v>43227</v>
      </c>
      <c r="J19" s="6">
        <v>17</v>
      </c>
      <c r="K19" s="69">
        <f t="shared" si="4"/>
        <v>516</v>
      </c>
      <c r="L19" s="73">
        <f t="shared" si="5"/>
        <v>159448758048.4474</v>
      </c>
      <c r="M19" s="70">
        <f t="shared" si="6"/>
        <v>2546630287.107651</v>
      </c>
      <c r="N19" s="70">
        <f t="shared" si="7"/>
        <v>1167500763.7343452</v>
      </c>
      <c r="O19" s="71">
        <f t="shared" si="8"/>
        <v>3714131050.841996</v>
      </c>
    </row>
    <row r="20" spans="1:15" s="27" customFormat="1" ht="12.75">
      <c r="A20" s="78">
        <v>43258</v>
      </c>
      <c r="B20" s="64">
        <f>IF(DIAS365('CALCULADORA TIS PESOS H-1'!$E$6,A20)&lt;0,0,DIAS365('CALCULADORA TIS PESOS H-1'!$E$6,A20))</f>
        <v>0</v>
      </c>
      <c r="C20" s="65">
        <f>+HLOOKUP('CALCULADORA TIS PESOS H-1'!$E$4,Tablas!$B$1:$B$181,Flujos!J20+1,FALSE)</f>
        <v>0.01408569</v>
      </c>
      <c r="D20" s="83">
        <f t="shared" si="1"/>
        <v>76.144679</v>
      </c>
      <c r="E20" s="66">
        <f t="shared" si="2"/>
        <v>1.408569</v>
      </c>
      <c r="F20" s="66">
        <f>ROUND(D19*ROUND(((1+'CALCULADORA TIS PESOS H-1'!$C$14)^(1/12)-1),6),6)</f>
        <v>0.558926</v>
      </c>
      <c r="G20" s="66">
        <f t="shared" si="3"/>
        <v>1.967495</v>
      </c>
      <c r="H20" s="67">
        <f>IF($B20=0,0,G20/POWER(1+'CALCULADORA TIS PESOS H-1'!$F$11,Flujos!$B20/365))</f>
        <v>0</v>
      </c>
      <c r="I20" s="68">
        <f t="shared" si="0"/>
        <v>43258</v>
      </c>
      <c r="J20" s="6">
        <v>18</v>
      </c>
      <c r="K20" s="69">
        <f t="shared" si="4"/>
        <v>547</v>
      </c>
      <c r="L20" s="73">
        <f t="shared" si="5"/>
        <v>156552753258.60876</v>
      </c>
      <c r="M20" s="70">
        <f t="shared" si="6"/>
        <v>2896004789.838635</v>
      </c>
      <c r="N20" s="70">
        <f t="shared" si="7"/>
        <v>1149147199.2551603</v>
      </c>
      <c r="O20" s="71">
        <f t="shared" si="8"/>
        <v>4045151989.0937953</v>
      </c>
    </row>
    <row r="21" spans="1:15" s="27" customFormat="1" ht="12.75">
      <c r="A21" s="78">
        <v>43288</v>
      </c>
      <c r="B21" s="64">
        <f>IF(DIAS365('CALCULADORA TIS PESOS H-1'!$E$6,A21)&lt;0,0,DIAS365('CALCULADORA TIS PESOS H-1'!$E$6,A21))</f>
        <v>0</v>
      </c>
      <c r="C21" s="65">
        <f>+HLOOKUP('CALCULADORA TIS PESOS H-1'!$E$4,Tablas!$B$1:$B$181,Flujos!J21+1,FALSE)</f>
        <v>0.01263502</v>
      </c>
      <c r="D21" s="83">
        <f t="shared" si="1"/>
        <v>74.881177</v>
      </c>
      <c r="E21" s="66">
        <f t="shared" si="2"/>
        <v>1.263502</v>
      </c>
      <c r="F21" s="66">
        <f>ROUND(D20*ROUND(((1+'CALCULADORA TIS PESOS H-1'!$C$14)^(1/12)-1),6),6)</f>
        <v>0.548775</v>
      </c>
      <c r="G21" s="66">
        <f t="shared" si="3"/>
        <v>1.812277</v>
      </c>
      <c r="H21" s="67">
        <f>IF($B21=0,0,G21/POWER(1+'CALCULADORA TIS PESOS H-1'!$F$11,Flujos!$B21/365))</f>
        <v>0</v>
      </c>
      <c r="I21" s="68">
        <f t="shared" si="0"/>
        <v>43288</v>
      </c>
      <c r="J21" s="6">
        <v>19</v>
      </c>
      <c r="K21" s="69">
        <f t="shared" si="4"/>
        <v>577</v>
      </c>
      <c r="L21" s="73">
        <f t="shared" si="5"/>
        <v>153955004874.27637</v>
      </c>
      <c r="M21" s="70">
        <f t="shared" si="6"/>
        <v>2597748384.3323936</v>
      </c>
      <c r="N21" s="70">
        <f t="shared" si="7"/>
        <v>1128275692.7347934</v>
      </c>
      <c r="O21" s="71">
        <f t="shared" si="8"/>
        <v>3726024077.0671873</v>
      </c>
    </row>
    <row r="22" spans="1:15" s="27" customFormat="1" ht="12.75">
      <c r="A22" s="78">
        <v>43319</v>
      </c>
      <c r="B22" s="64">
        <f>IF(DIAS365('CALCULADORA TIS PESOS H-1'!$E$6,A22)&lt;0,0,DIAS365('CALCULADORA TIS PESOS H-1'!$E$6,A22))</f>
        <v>0</v>
      </c>
      <c r="C22" s="65">
        <f>+HLOOKUP('CALCULADORA TIS PESOS H-1'!$E$4,Tablas!$B$1:$B$181,Flujos!J22+1,FALSE)</f>
        <v>0.0149282</v>
      </c>
      <c r="D22" s="83">
        <f t="shared" si="1"/>
        <v>73.388357</v>
      </c>
      <c r="E22" s="66">
        <f t="shared" si="2"/>
        <v>1.49282</v>
      </c>
      <c r="F22" s="66">
        <f>ROUND(D21*ROUND(((1+'CALCULADORA TIS PESOS H-1'!$C$14)^(1/12)-1),6),6)</f>
        <v>0.539669</v>
      </c>
      <c r="G22" s="66">
        <f t="shared" si="3"/>
        <v>2.032489</v>
      </c>
      <c r="H22" s="67">
        <f>IF($B22=0,0,G22/POWER(1+'CALCULADORA TIS PESOS H-1'!$F$11,Flujos!$B22/365))</f>
        <v>0</v>
      </c>
      <c r="I22" s="68">
        <f t="shared" si="0"/>
        <v>43319</v>
      </c>
      <c r="J22" s="6">
        <v>20</v>
      </c>
      <c r="K22" s="69">
        <f t="shared" si="4"/>
        <v>608</v>
      </c>
      <c r="L22" s="73">
        <f t="shared" si="5"/>
        <v>150885780810.44498</v>
      </c>
      <c r="M22" s="70">
        <f t="shared" si="6"/>
        <v>3069224063.831386</v>
      </c>
      <c r="N22" s="70">
        <f t="shared" si="7"/>
        <v>1109553720.1289098</v>
      </c>
      <c r="O22" s="71">
        <f t="shared" si="8"/>
        <v>4178777783.9602957</v>
      </c>
    </row>
    <row r="23" spans="1:15" s="27" customFormat="1" ht="12.75">
      <c r="A23" s="78">
        <v>43350</v>
      </c>
      <c r="B23" s="64">
        <f>IF(DIAS365('CALCULADORA TIS PESOS H-1'!$E$6,A23)&lt;0,0,DIAS365('CALCULADORA TIS PESOS H-1'!$E$6,A23))</f>
        <v>0</v>
      </c>
      <c r="C23" s="65">
        <f>+HLOOKUP('CALCULADORA TIS PESOS H-1'!$E$4,Tablas!$B$1:$B$181,Flujos!J23+1,FALSE)</f>
        <v>0.01479352</v>
      </c>
      <c r="D23" s="83">
        <f t="shared" si="1"/>
        <v>71.909005</v>
      </c>
      <c r="E23" s="66">
        <f t="shared" si="2"/>
        <v>1.479352</v>
      </c>
      <c r="F23" s="66">
        <f>ROUND(D22*ROUND(((1+'CALCULADORA TIS PESOS H-1'!$C$14)^(1/12)-1),6),6)</f>
        <v>0.52891</v>
      </c>
      <c r="G23" s="66">
        <f t="shared" si="3"/>
        <v>2.008262</v>
      </c>
      <c r="H23" s="67">
        <f>IF($B23=0,0,G23/POWER(1+'CALCULADORA TIS PESOS H-1'!$F$11,Flujos!$B23/365))</f>
        <v>0</v>
      </c>
      <c r="I23" s="68">
        <f t="shared" si="0"/>
        <v>43350</v>
      </c>
      <c r="J23" s="6">
        <v>21</v>
      </c>
      <c r="K23" s="69">
        <f t="shared" si="4"/>
        <v>639</v>
      </c>
      <c r="L23" s="73">
        <f t="shared" si="5"/>
        <v>147844246829.6053</v>
      </c>
      <c r="M23" s="70">
        <f t="shared" si="6"/>
        <v>3041533980.839678</v>
      </c>
      <c r="N23" s="70">
        <f t="shared" si="7"/>
        <v>1087433822.3008769</v>
      </c>
      <c r="O23" s="71">
        <f t="shared" si="8"/>
        <v>4128967803.1405544</v>
      </c>
    </row>
    <row r="24" spans="1:15" s="27" customFormat="1" ht="12.75">
      <c r="A24" s="78">
        <v>43380</v>
      </c>
      <c r="B24" s="64">
        <f>IF(DIAS365('CALCULADORA TIS PESOS H-1'!$E$6,A24)&lt;0,0,DIAS365('CALCULADORA TIS PESOS H-1'!$E$6,A24))</f>
        <v>0</v>
      </c>
      <c r="C24" s="65">
        <f>+HLOOKUP('CALCULADORA TIS PESOS H-1'!$E$4,Tablas!$B$1:$B$181,Flujos!J24+1,FALSE)</f>
        <v>0.0136245</v>
      </c>
      <c r="D24" s="83">
        <f t="shared" si="1"/>
        <v>70.546555</v>
      </c>
      <c r="E24" s="66">
        <f t="shared" si="2"/>
        <v>1.36245</v>
      </c>
      <c r="F24" s="66">
        <f>ROUND(D23*ROUND(((1+'CALCULADORA TIS PESOS H-1'!$C$14)^(1/12)-1),6),6)</f>
        <v>0.518248</v>
      </c>
      <c r="G24" s="66">
        <f t="shared" si="3"/>
        <v>1.880698</v>
      </c>
      <c r="H24" s="67">
        <f>IF($B24=0,0,G24/POWER(1+'CALCULADORA TIS PESOS H-1'!$F$11,Flujos!$B24/365))</f>
        <v>0</v>
      </c>
      <c r="I24" s="68">
        <f t="shared" si="0"/>
        <v>43380</v>
      </c>
      <c r="J24" s="6">
        <v>22</v>
      </c>
      <c r="K24" s="69">
        <f t="shared" si="4"/>
        <v>669</v>
      </c>
      <c r="L24" s="73">
        <f t="shared" si="5"/>
        <v>145043062275.69586</v>
      </c>
      <c r="M24" s="70">
        <f t="shared" si="6"/>
        <v>2801184553.909427</v>
      </c>
      <c r="N24" s="70">
        <f t="shared" si="7"/>
        <v>1065513486.9009653</v>
      </c>
      <c r="O24" s="71">
        <f t="shared" si="8"/>
        <v>3866698040.8103924</v>
      </c>
    </row>
    <row r="25" spans="1:15" s="27" customFormat="1" ht="12.75">
      <c r="A25" s="78">
        <v>43411</v>
      </c>
      <c r="B25" s="64">
        <f>IF(DIAS365('CALCULADORA TIS PESOS H-1'!$E$6,A25)&lt;0,0,DIAS365('CALCULADORA TIS PESOS H-1'!$E$6,A25))</f>
        <v>0</v>
      </c>
      <c r="C25" s="65">
        <f>+HLOOKUP('CALCULADORA TIS PESOS H-1'!$E$4,Tablas!$B$1:$B$181,Flujos!J25+1,FALSE)</f>
        <v>0.01186054</v>
      </c>
      <c r="D25" s="83">
        <f t="shared" si="1"/>
        <v>69.360501</v>
      </c>
      <c r="E25" s="66">
        <f t="shared" si="2"/>
        <v>1.186054</v>
      </c>
      <c r="F25" s="66">
        <f>ROUND(D24*ROUND(((1+'CALCULADORA TIS PESOS H-1'!$C$14)^(1/12)-1),6),6)</f>
        <v>0.508429</v>
      </c>
      <c r="G25" s="66">
        <f t="shared" si="3"/>
        <v>1.694483</v>
      </c>
      <c r="H25" s="67">
        <f>IF($B25=0,0,G25/POWER(1+'CALCULADORA TIS PESOS H-1'!$F$11,Flujos!$B25/365))</f>
        <v>0</v>
      </c>
      <c r="I25" s="68">
        <f t="shared" si="0"/>
        <v>43411</v>
      </c>
      <c r="J25" s="6">
        <v>23</v>
      </c>
      <c r="K25" s="69">
        <f t="shared" si="4"/>
        <v>700</v>
      </c>
      <c r="L25" s="73">
        <f t="shared" si="5"/>
        <v>142604546260.50082</v>
      </c>
      <c r="M25" s="70">
        <f t="shared" si="6"/>
        <v>2438516015.195047</v>
      </c>
      <c r="N25" s="70">
        <f t="shared" si="7"/>
        <v>1045325349.82094</v>
      </c>
      <c r="O25" s="71">
        <f t="shared" si="8"/>
        <v>3483841365.015987</v>
      </c>
    </row>
    <row r="26" spans="1:15" s="27" customFormat="1" ht="12.75">
      <c r="A26" s="78">
        <v>43441</v>
      </c>
      <c r="B26" s="64">
        <f>IF(DIAS365('CALCULADORA TIS PESOS H-1'!$E$6,A26)&lt;0,0,DIAS365('CALCULADORA TIS PESOS H-1'!$E$6,A26))</f>
        <v>0</v>
      </c>
      <c r="C26" s="65">
        <f>+HLOOKUP('CALCULADORA TIS PESOS H-1'!$E$4,Tablas!$B$1:$B$181,Flujos!J26+1,FALSE)</f>
        <v>0.01407158</v>
      </c>
      <c r="D26" s="83">
        <f t="shared" si="1"/>
        <v>67.953343</v>
      </c>
      <c r="E26" s="66">
        <f t="shared" si="2"/>
        <v>1.407158</v>
      </c>
      <c r="F26" s="66">
        <f>ROUND(D25*ROUND(((1+'CALCULADORA TIS PESOS H-1'!$C$14)^(1/12)-1),6),6)</f>
        <v>0.499881</v>
      </c>
      <c r="G26" s="66">
        <f t="shared" si="3"/>
        <v>1.907039</v>
      </c>
      <c r="H26" s="67">
        <f>IF($B26=0,0,G26/POWER(1+'CALCULADORA TIS PESOS H-1'!$F$11,Flujos!$B26/365))</f>
        <v>0</v>
      </c>
      <c r="I26" s="68">
        <f t="shared" si="0"/>
        <v>43441</v>
      </c>
      <c r="J26" s="6">
        <v>24</v>
      </c>
      <c r="K26" s="69">
        <f t="shared" si="4"/>
        <v>730</v>
      </c>
      <c r="L26" s="73">
        <f t="shared" si="5"/>
        <v>139711442473.56546</v>
      </c>
      <c r="M26" s="70">
        <f t="shared" si="6"/>
        <v>2893103786.935361</v>
      </c>
      <c r="N26" s="70">
        <f t="shared" si="7"/>
        <v>1027750964.8994294</v>
      </c>
      <c r="O26" s="71">
        <f t="shared" si="8"/>
        <v>3920854751.83479</v>
      </c>
    </row>
    <row r="27" spans="1:15" s="27" customFormat="1" ht="12.75">
      <c r="A27" s="78">
        <v>43472</v>
      </c>
      <c r="B27" s="64">
        <f>IF(DIAS365('CALCULADORA TIS PESOS H-1'!$E$6,A27)&lt;0,0,DIAS365('CALCULADORA TIS PESOS H-1'!$E$6,A27))</f>
        <v>0</v>
      </c>
      <c r="C27" s="65">
        <f>+HLOOKUP('CALCULADORA TIS PESOS H-1'!$E$4,Tablas!$B$1:$B$181,Flujos!J27+1,FALSE)</f>
        <v>0.01345364</v>
      </c>
      <c r="D27" s="83">
        <f t="shared" si="1"/>
        <v>66.607979</v>
      </c>
      <c r="E27" s="66">
        <f t="shared" si="2"/>
        <v>1.345364</v>
      </c>
      <c r="F27" s="66">
        <f>ROUND(D26*ROUND(((1+'CALCULADORA TIS PESOS H-1'!$C$14)^(1/12)-1),6),6)</f>
        <v>0.48974</v>
      </c>
      <c r="G27" s="66">
        <f t="shared" si="3"/>
        <v>1.835104</v>
      </c>
      <c r="H27" s="67">
        <f>IF($B27=0,0,G27/POWER(1+'CALCULADORA TIS PESOS H-1'!$F$11,Flujos!$B27/365))</f>
        <v>0</v>
      </c>
      <c r="I27" s="68">
        <f t="shared" si="0"/>
        <v>43472</v>
      </c>
      <c r="J27" s="6">
        <v>25</v>
      </c>
      <c r="K27" s="69">
        <f t="shared" si="4"/>
        <v>761</v>
      </c>
      <c r="L27" s="73">
        <f t="shared" si="5"/>
        <v>136945386577.06592</v>
      </c>
      <c r="M27" s="70">
        <f t="shared" si="6"/>
        <v>2766055896.499543</v>
      </c>
      <c r="N27" s="70">
        <f t="shared" si="7"/>
        <v>1006900365.9069862</v>
      </c>
      <c r="O27" s="71">
        <f t="shared" si="8"/>
        <v>3772956262.4065294</v>
      </c>
    </row>
    <row r="28" spans="1:15" s="27" customFormat="1" ht="12.75">
      <c r="A28" s="78">
        <v>43503</v>
      </c>
      <c r="B28" s="64">
        <f>IF(DIAS365('CALCULADORA TIS PESOS H-1'!$E$6,A28)&lt;0,0,DIAS365('CALCULADORA TIS PESOS H-1'!$E$6,A28))</f>
        <v>0</v>
      </c>
      <c r="C28" s="65">
        <f>+HLOOKUP('CALCULADORA TIS PESOS H-1'!$E$4,Tablas!$B$1:$B$181,Flujos!J28+1,FALSE)</f>
        <v>0.0108372</v>
      </c>
      <c r="D28" s="83">
        <f t="shared" si="1"/>
        <v>65.524259</v>
      </c>
      <c r="E28" s="66">
        <f t="shared" si="2"/>
        <v>1.08372</v>
      </c>
      <c r="F28" s="66">
        <f>ROUND(D27*ROUND(((1+'CALCULADORA TIS PESOS H-1'!$C$14)^(1/12)-1),6),6)</f>
        <v>0.480044</v>
      </c>
      <c r="G28" s="66">
        <f t="shared" si="3"/>
        <v>1.563764</v>
      </c>
      <c r="H28" s="67">
        <f>IF($B28=0,0,G28/POWER(1+'CALCULADORA TIS PESOS H-1'!$F$11,Flujos!$B28/365))</f>
        <v>0</v>
      </c>
      <c r="I28" s="68">
        <f t="shared" si="0"/>
        <v>43503</v>
      </c>
      <c r="J28" s="6">
        <v>26</v>
      </c>
      <c r="K28" s="69">
        <f t="shared" si="4"/>
        <v>792</v>
      </c>
      <c r="L28" s="73">
        <f t="shared" si="5"/>
        <v>134717268316.01947</v>
      </c>
      <c r="M28" s="70">
        <f t="shared" si="6"/>
        <v>2228118261.046442</v>
      </c>
      <c r="N28" s="70">
        <f t="shared" si="7"/>
        <v>986965401.060914</v>
      </c>
      <c r="O28" s="71">
        <f t="shared" si="8"/>
        <v>3215083662.107356</v>
      </c>
    </row>
    <row r="29" spans="1:15" s="27" customFormat="1" ht="12.75">
      <c r="A29" s="78">
        <v>43531</v>
      </c>
      <c r="B29" s="64">
        <f>IF(DIAS365('CALCULADORA TIS PESOS H-1'!$E$6,A29)&lt;0,0,DIAS365('CALCULADORA TIS PESOS H-1'!$E$6,A29))</f>
        <v>0</v>
      </c>
      <c r="C29" s="65">
        <f>+HLOOKUP('CALCULADORA TIS PESOS H-1'!$E$4,Tablas!$B$1:$B$181,Flujos!J29+1,FALSE)</f>
        <v>0.01203244</v>
      </c>
      <c r="D29" s="83">
        <f t="shared" si="1"/>
        <v>64.321015</v>
      </c>
      <c r="E29" s="66">
        <f t="shared" si="2"/>
        <v>1.203244</v>
      </c>
      <c r="F29" s="66">
        <f>ROUND(D28*ROUND(((1+'CALCULADORA TIS PESOS H-1'!$C$14)^(1/12)-1),6),6)</f>
        <v>0.472233</v>
      </c>
      <c r="G29" s="66">
        <f t="shared" si="3"/>
        <v>1.6754769999999999</v>
      </c>
      <c r="H29" s="67">
        <f>IF($B29=0,0,G29/POWER(1+'CALCULADORA TIS PESOS H-1'!$F$11,Flujos!$B29/365))</f>
        <v>0</v>
      </c>
      <c r="I29" s="68">
        <f t="shared" si="0"/>
        <v>43531</v>
      </c>
      <c r="J29" s="6">
        <v>27</v>
      </c>
      <c r="K29" s="69">
        <f t="shared" si="4"/>
        <v>820</v>
      </c>
      <c r="L29" s="73">
        <f t="shared" si="5"/>
        <v>132243409820.37985</v>
      </c>
      <c r="M29" s="70">
        <f t="shared" si="6"/>
        <v>2473858495.6396165</v>
      </c>
      <c r="N29" s="70">
        <f t="shared" si="7"/>
        <v>970907352.7535523</v>
      </c>
      <c r="O29" s="71">
        <f t="shared" si="8"/>
        <v>3444765848.393169</v>
      </c>
    </row>
    <row r="30" spans="1:15" s="27" customFormat="1" ht="12.75">
      <c r="A30" s="78">
        <v>43562</v>
      </c>
      <c r="B30" s="64">
        <f>IF(DIAS365('CALCULADORA TIS PESOS H-1'!$E$6,A30)&lt;0,0,DIAS365('CALCULADORA TIS PESOS H-1'!$E$6,A30))</f>
        <v>0</v>
      </c>
      <c r="C30" s="65">
        <f>+HLOOKUP('CALCULADORA TIS PESOS H-1'!$E$4,Tablas!$B$1:$B$181,Flujos!J30+1,FALSE)</f>
        <v>0.01551368</v>
      </c>
      <c r="D30" s="83">
        <f t="shared" si="1"/>
        <v>62.769647</v>
      </c>
      <c r="E30" s="66">
        <f t="shared" si="2"/>
        <v>1.551368</v>
      </c>
      <c r="F30" s="66">
        <f>ROUND(D29*ROUND(((1+'CALCULADORA TIS PESOS H-1'!$C$14)^(1/12)-1),6),6)</f>
        <v>0.463562</v>
      </c>
      <c r="G30" s="66">
        <f t="shared" si="3"/>
        <v>2.01493</v>
      </c>
      <c r="H30" s="67">
        <f>IF($B30=0,0,G30/POWER(1+'CALCULADORA TIS PESOS H-1'!$F$11,Flujos!$B30/365))</f>
        <v>0</v>
      </c>
      <c r="I30" s="68">
        <f t="shared" si="0"/>
        <v>43562</v>
      </c>
      <c r="J30" s="6">
        <v>28</v>
      </c>
      <c r="K30" s="69">
        <f t="shared" si="4"/>
        <v>851</v>
      </c>
      <c r="L30" s="73">
        <f t="shared" si="5"/>
        <v>129053811611.98369</v>
      </c>
      <c r="M30" s="70">
        <f t="shared" si="6"/>
        <v>3189598208.396169</v>
      </c>
      <c r="N30" s="70">
        <f t="shared" si="7"/>
        <v>953078254.5754776</v>
      </c>
      <c r="O30" s="71">
        <f t="shared" si="8"/>
        <v>4142676462.971647</v>
      </c>
    </row>
    <row r="31" spans="1:15" s="27" customFormat="1" ht="12.75">
      <c r="A31" s="78">
        <v>43592</v>
      </c>
      <c r="B31" s="64">
        <f>IF(DIAS365('CALCULADORA TIS PESOS H-1'!$E$6,A31)&lt;0,0,DIAS365('CALCULADORA TIS PESOS H-1'!$E$6,A31))</f>
        <v>0</v>
      </c>
      <c r="C31" s="65">
        <f>+HLOOKUP('CALCULADORA TIS PESOS H-1'!$E$4,Tablas!$B$1:$B$181,Flujos!J31+1,FALSE)</f>
        <v>0.01722625</v>
      </c>
      <c r="D31" s="83">
        <f t="shared" si="1"/>
        <v>61.047022</v>
      </c>
      <c r="E31" s="66">
        <f t="shared" si="2"/>
        <v>1.722625</v>
      </c>
      <c r="F31" s="66">
        <f>ROUND(D30*ROUND(((1+'CALCULADORA TIS PESOS H-1'!$C$14)^(1/12)-1),6),6)</f>
        <v>0.452381</v>
      </c>
      <c r="G31" s="66">
        <f t="shared" si="3"/>
        <v>2.175006</v>
      </c>
      <c r="H31" s="67">
        <f>IF($B31=0,0,G31/POWER(1+'CALCULADORA TIS PESOS H-1'!$F$11,Flujos!$B31/365))</f>
        <v>0</v>
      </c>
      <c r="I31" s="68">
        <f t="shared" si="0"/>
        <v>43592</v>
      </c>
      <c r="J31" s="6">
        <v>29</v>
      </c>
      <c r="K31" s="69">
        <f t="shared" si="4"/>
        <v>881</v>
      </c>
      <c r="L31" s="73">
        <f t="shared" si="5"/>
        <v>125512110601.17358</v>
      </c>
      <c r="M31" s="70">
        <f t="shared" si="6"/>
        <v>3541701010.810105</v>
      </c>
      <c r="N31" s="70">
        <f t="shared" si="7"/>
        <v>930090820.2875664</v>
      </c>
      <c r="O31" s="71">
        <f t="shared" si="8"/>
        <v>4471791831.0976715</v>
      </c>
    </row>
    <row r="32" spans="1:15" s="79" customFormat="1" ht="12.75">
      <c r="A32" s="161">
        <v>43623</v>
      </c>
      <c r="B32" s="64">
        <f>IF(DIAS365('CALCULADORA TIS PESOS H-1'!$E$6,A32)&lt;0,0,DIAS365('CALCULADORA TIS PESOS H-1'!$E$6,A32))</f>
        <v>0</v>
      </c>
      <c r="C32" s="65">
        <f>+HLOOKUP('CALCULADORA TIS PESOS H-1'!$E$4,Tablas!$B$1:$B$181,Flujos!J32+1,FALSE)</f>
        <v>0.01295079</v>
      </c>
      <c r="D32" s="83">
        <f t="shared" si="1"/>
        <v>59.751943</v>
      </c>
      <c r="E32" s="66">
        <f t="shared" si="2"/>
        <v>1.295079</v>
      </c>
      <c r="F32" s="66">
        <f>ROUND(D31*ROUND(((1+'CALCULADORA TIS PESOS H-1'!$C$14)^(1/12)-1),6),6)</f>
        <v>0.439966</v>
      </c>
      <c r="G32" s="66">
        <f t="shared" si="3"/>
        <v>1.7350450000000002</v>
      </c>
      <c r="H32" s="67">
        <f>IF($B32=0,0,G32/POWER(1+'CALCULADORA TIS PESOS H-1'!$F$11,Flujos!$B32/365))</f>
        <v>0</v>
      </c>
      <c r="I32" s="68">
        <f t="shared" si="0"/>
        <v>43623</v>
      </c>
      <c r="J32" s="6">
        <v>30</v>
      </c>
      <c r="K32" s="69">
        <f t="shared" si="4"/>
        <v>912</v>
      </c>
      <c r="L32" s="73">
        <f t="shared" si="5"/>
        <v>122849440197.93495</v>
      </c>
      <c r="M32" s="70">
        <f t="shared" si="6"/>
        <v>2662670403.238627</v>
      </c>
      <c r="N32" s="70">
        <f t="shared" si="7"/>
        <v>904565781.102658</v>
      </c>
      <c r="O32" s="71">
        <f t="shared" si="8"/>
        <v>3567236184.3412848</v>
      </c>
    </row>
    <row r="33" spans="1:15" ht="12.75">
      <c r="A33" s="161">
        <v>43653</v>
      </c>
      <c r="B33" s="64">
        <f>IF(DIAS365('CALCULADORA TIS PESOS H-1'!$E$6,A33)&lt;0,0,DIAS365('CALCULADORA TIS PESOS H-1'!$E$6,A33))</f>
        <v>0</v>
      </c>
      <c r="C33" s="65">
        <f>+HLOOKUP('CALCULADORA TIS PESOS H-1'!$E$4,Tablas!$B$1:$B$181,Flujos!J33+1,FALSE)</f>
        <v>0.01486068</v>
      </c>
      <c r="D33" s="83">
        <f t="shared" si="1"/>
        <v>58.265875</v>
      </c>
      <c r="E33" s="66">
        <f t="shared" si="2"/>
        <v>1.486068</v>
      </c>
      <c r="F33" s="66">
        <f>ROUND(D32*ROUND(((1+'CALCULADORA TIS PESOS H-1'!$C$14)^(1/12)-1),6),6)</f>
        <v>0.430632</v>
      </c>
      <c r="G33" s="66">
        <f t="shared" si="3"/>
        <v>1.9167</v>
      </c>
      <c r="H33" s="67">
        <f>IF($B33=0,0,G33/POWER(1+'CALCULADORA TIS PESOS H-1'!$F$11,Flujos!$B33/365))</f>
        <v>0</v>
      </c>
      <c r="I33" s="68">
        <f t="shared" si="0"/>
        <v>43653</v>
      </c>
      <c r="J33" s="6">
        <v>31</v>
      </c>
      <c r="K33" s="69">
        <f t="shared" si="4"/>
        <v>942</v>
      </c>
      <c r="L33" s="73">
        <f t="shared" si="5"/>
        <v>119794098183.43234</v>
      </c>
      <c r="M33" s="70">
        <f t="shared" si="6"/>
        <v>3055342014.5026054</v>
      </c>
      <c r="N33" s="70">
        <f t="shared" si="7"/>
        <v>885375915.5065172</v>
      </c>
      <c r="O33" s="71">
        <f t="shared" si="8"/>
        <v>3940717930.009123</v>
      </c>
    </row>
    <row r="34" spans="1:15" ht="12.75">
      <c r="A34" s="161">
        <v>43684</v>
      </c>
      <c r="B34" s="64">
        <f>IF(DIAS365('CALCULADORA TIS PESOS H-1'!$E$6,A34)&lt;0,0,DIAS365('CALCULADORA TIS PESOS H-1'!$E$6,A34))</f>
        <v>0</v>
      </c>
      <c r="C34" s="65">
        <f>+HLOOKUP('CALCULADORA TIS PESOS H-1'!$E$4,Tablas!$B$1:$B$181,Flujos!J34+1,FALSE)</f>
        <v>0.01075147</v>
      </c>
      <c r="D34" s="83">
        <f t="shared" si="1"/>
        <v>57.190728</v>
      </c>
      <c r="E34" s="66">
        <f t="shared" si="2"/>
        <v>1.075147</v>
      </c>
      <c r="F34" s="66">
        <f>ROUND(D33*ROUND(((1+'CALCULADORA TIS PESOS H-1'!$C$14)^(1/12)-1),6),6)</f>
        <v>0.419922</v>
      </c>
      <c r="G34" s="66">
        <f t="shared" si="3"/>
        <v>1.495069</v>
      </c>
      <c r="H34" s="67">
        <f>IF($B34=0,0,G34/POWER(1+'CALCULADORA TIS PESOS H-1'!$F$11,Flujos!$B34/365))</f>
        <v>0</v>
      </c>
      <c r="I34" s="68">
        <f t="shared" si="0"/>
        <v>43684</v>
      </c>
      <c r="J34" s="6">
        <v>32</v>
      </c>
      <c r="K34" s="69">
        <f t="shared" si="4"/>
        <v>973</v>
      </c>
      <c r="L34" s="73">
        <f t="shared" si="5"/>
        <v>117583605930.8124</v>
      </c>
      <c r="M34" s="70">
        <f t="shared" si="6"/>
        <v>2210492252.6199565</v>
      </c>
      <c r="N34" s="70">
        <f t="shared" si="7"/>
        <v>863356065.6079968</v>
      </c>
      <c r="O34" s="71">
        <f t="shared" si="8"/>
        <v>3073848318.2279534</v>
      </c>
    </row>
    <row r="35" spans="1:15" ht="12.75">
      <c r="A35" s="161">
        <v>43715</v>
      </c>
      <c r="B35" s="64">
        <f>IF(DIAS365('CALCULADORA TIS PESOS H-1'!$E$6,A35)&lt;0,0,DIAS365('CALCULADORA TIS PESOS H-1'!$E$6,A35))</f>
        <v>0</v>
      </c>
      <c r="C35" s="65">
        <f>+HLOOKUP('CALCULADORA TIS PESOS H-1'!$E$4,Tablas!$B$1:$B$181,Flujos!J35+1,FALSE)</f>
        <v>0.01888139</v>
      </c>
      <c r="D35" s="83">
        <f t="shared" si="1"/>
        <v>55.302589</v>
      </c>
      <c r="E35" s="66">
        <f t="shared" si="2"/>
        <v>1.888139</v>
      </c>
      <c r="F35" s="66">
        <f>ROUND(D34*ROUND(((1+'CALCULADORA TIS PESOS H-1'!$C$14)^(1/12)-1),6),6)</f>
        <v>0.412174</v>
      </c>
      <c r="G35" s="66">
        <f t="shared" si="3"/>
        <v>2.300313</v>
      </c>
      <c r="H35" s="67">
        <f>IF($B35=0,0,G35/POWER(1+'CALCULADORA TIS PESOS H-1'!$F$11,Flujos!$B35/365))</f>
        <v>0</v>
      </c>
      <c r="I35" s="68">
        <f t="shared" si="0"/>
        <v>43715</v>
      </c>
      <c r="J35" s="6">
        <v>33</v>
      </c>
      <c r="K35" s="69">
        <f t="shared" si="4"/>
        <v>1004</v>
      </c>
      <c r="L35" s="73">
        <f t="shared" si="5"/>
        <v>113701609672.28255</v>
      </c>
      <c r="M35" s="70">
        <f t="shared" si="6"/>
        <v>3881996258.529849</v>
      </c>
      <c r="N35" s="70">
        <f t="shared" si="7"/>
        <v>847425047.9433649</v>
      </c>
      <c r="O35" s="71">
        <f t="shared" si="8"/>
        <v>4729421306.473214</v>
      </c>
    </row>
    <row r="36" spans="1:15" ht="12.75">
      <c r="A36" s="161">
        <v>43745</v>
      </c>
      <c r="B36" s="64">
        <f>IF(DIAS365('CALCULADORA TIS PESOS H-1'!$E$6,A36)&lt;0,0,DIAS365('CALCULADORA TIS PESOS H-1'!$E$6,A36))</f>
        <v>0</v>
      </c>
      <c r="C36" s="65">
        <f>+HLOOKUP('CALCULADORA TIS PESOS H-1'!$E$4,Tablas!$B$1:$B$181,Flujos!J36+1,FALSE)</f>
        <v>0.01313316</v>
      </c>
      <c r="D36" s="83">
        <f t="shared" si="1"/>
        <v>53.989273</v>
      </c>
      <c r="E36" s="66">
        <f t="shared" si="2"/>
        <v>1.313316</v>
      </c>
      <c r="F36" s="66">
        <f>ROUND(D35*ROUND(((1+'CALCULADORA TIS PESOS H-1'!$C$14)^(1/12)-1),6),6)</f>
        <v>0.398566</v>
      </c>
      <c r="G36" s="66">
        <f t="shared" si="3"/>
        <v>1.711882</v>
      </c>
      <c r="H36" s="67">
        <f>IF($B36=0,0,G36/POWER(1+'CALCULADORA TIS PESOS H-1'!$F$11,Flujos!$B36/365))</f>
        <v>0</v>
      </c>
      <c r="I36" s="68">
        <f t="shared" si="0"/>
        <v>43745</v>
      </c>
      <c r="J36" s="6">
        <v>34</v>
      </c>
      <c r="K36" s="69">
        <f t="shared" si="4"/>
        <v>1034</v>
      </c>
      <c r="L36" s="73">
        <f t="shared" si="5"/>
        <v>111001444166.31747</v>
      </c>
      <c r="M36" s="70">
        <f t="shared" si="6"/>
        <v>2700165505.9650726</v>
      </c>
      <c r="N36" s="70">
        <f t="shared" si="7"/>
        <v>819447500.9081403</v>
      </c>
      <c r="O36" s="71">
        <f t="shared" si="8"/>
        <v>3519613006.873213</v>
      </c>
    </row>
    <row r="37" spans="1:15" s="27" customFormat="1" ht="12.75">
      <c r="A37" s="161">
        <v>43776</v>
      </c>
      <c r="B37" s="64">
        <f>IF(DIAS365('CALCULADORA TIS PESOS H-1'!$E$6,A37)&lt;0,0,DIAS365('CALCULADORA TIS PESOS H-1'!$E$6,A37))</f>
        <v>0</v>
      </c>
      <c r="C37" s="65">
        <f>+HLOOKUP('CALCULADORA TIS PESOS H-1'!$E$4,Tablas!$B$1:$B$181,Flujos!J37+1,FALSE)</f>
        <v>0.01342858</v>
      </c>
      <c r="D37" s="83">
        <f t="shared" si="1"/>
        <v>52.646415</v>
      </c>
      <c r="E37" s="66">
        <f t="shared" si="2"/>
        <v>1.342858</v>
      </c>
      <c r="F37" s="66">
        <f>ROUND(D36*ROUND(((1+'CALCULADORA TIS PESOS H-1'!$C$14)^(1/12)-1),6),6)</f>
        <v>0.389101</v>
      </c>
      <c r="G37" s="66">
        <f t="shared" si="3"/>
        <v>1.731959</v>
      </c>
      <c r="H37" s="67">
        <f>IF($B37=0,0,G37/POWER(1+'CALCULADORA TIS PESOS H-1'!$F$11,Flujos!$B37/365))</f>
        <v>0</v>
      </c>
      <c r="I37" s="68">
        <f t="shared" si="0"/>
        <v>43776</v>
      </c>
      <c r="J37" s="6">
        <v>35</v>
      </c>
      <c r="K37" s="69">
        <f t="shared" si="4"/>
        <v>1065</v>
      </c>
      <c r="L37" s="73">
        <f t="shared" si="5"/>
        <v>108240540582.55756</v>
      </c>
      <c r="M37" s="70">
        <f t="shared" si="6"/>
        <v>2760903583.7599225</v>
      </c>
      <c r="N37" s="70">
        <f t="shared" si="7"/>
        <v>799987408.10665</v>
      </c>
      <c r="O37" s="71">
        <f t="shared" si="8"/>
        <v>3560890991.8665724</v>
      </c>
    </row>
    <row r="38" spans="1:15" ht="12.75">
      <c r="A38" s="161">
        <v>43806</v>
      </c>
      <c r="B38" s="64">
        <f>IF(DIAS365('CALCULADORA TIS PESOS H-1'!$E$6,A38)&lt;0,0,DIAS365('CALCULADORA TIS PESOS H-1'!$E$6,A38))</f>
        <v>0</v>
      </c>
      <c r="C38" s="65">
        <f>+HLOOKUP('CALCULADORA TIS PESOS H-1'!$E$4,Tablas!$B$1:$B$181,Flujos!J38+1,FALSE)</f>
        <v>0.0148215</v>
      </c>
      <c r="D38" s="83">
        <f t="shared" si="1"/>
        <v>51.164265</v>
      </c>
      <c r="E38" s="66">
        <f t="shared" si="2"/>
        <v>1.48215</v>
      </c>
      <c r="F38" s="66">
        <f>ROUND(D37*ROUND(((1+'CALCULADORA TIS PESOS H-1'!$C$14)^(1/12)-1),6),6)</f>
        <v>0.379423</v>
      </c>
      <c r="G38" s="66">
        <f t="shared" si="3"/>
        <v>1.8615730000000001</v>
      </c>
      <c r="H38" s="67">
        <f>IF($B38=0,0,G38/POWER(1+'CALCULADORA TIS PESOS H-1'!$F$11,Flujos!$B38/365))</f>
        <v>0</v>
      </c>
      <c r="I38" s="68">
        <f t="shared" si="0"/>
        <v>43806</v>
      </c>
      <c r="J38" s="6">
        <v>36</v>
      </c>
      <c r="K38" s="69">
        <f t="shared" si="4"/>
        <v>1095</v>
      </c>
      <c r="L38" s="73">
        <f t="shared" si="5"/>
        <v>105193253939.68857</v>
      </c>
      <c r="M38" s="70">
        <f t="shared" si="6"/>
        <v>3047286642.868992</v>
      </c>
      <c r="N38" s="70">
        <f t="shared" si="7"/>
        <v>780089575.9784923</v>
      </c>
      <c r="O38" s="71">
        <f t="shared" si="8"/>
        <v>3827376218.847484</v>
      </c>
    </row>
    <row r="39" spans="1:15" ht="12.75">
      <c r="A39" s="161">
        <v>43837</v>
      </c>
      <c r="B39" s="64">
        <f>IF(DIAS365('CALCULADORA TIS PESOS H-1'!$E$6,A39)&lt;0,0,DIAS365('CALCULADORA TIS PESOS H-1'!$E$6,A39))</f>
        <v>0</v>
      </c>
      <c r="C39" s="65">
        <f>+HLOOKUP('CALCULADORA TIS PESOS H-1'!$E$4,Tablas!$B$1:$B$181,Flujos!J39+1,FALSE)</f>
        <v>0.01572056</v>
      </c>
      <c r="D39" s="83">
        <f t="shared" si="1"/>
        <v>49.592209</v>
      </c>
      <c r="E39" s="66">
        <f t="shared" si="2"/>
        <v>1.572056</v>
      </c>
      <c r="F39" s="66">
        <f>ROUND(D38*ROUND(((1+'CALCULADORA TIS PESOS H-1'!$C$14)^(1/12)-1),6),6)</f>
        <v>0.368741</v>
      </c>
      <c r="G39" s="66">
        <f t="shared" si="3"/>
        <v>1.9407969999999999</v>
      </c>
      <c r="H39" s="67">
        <f>IF($B39=0,0,G39/POWER(1+'CALCULADORA TIS PESOS H-1'!$F$11,Flujos!$B39/365))</f>
        <v>0</v>
      </c>
      <c r="I39" s="68">
        <f t="shared" si="0"/>
        <v>43837</v>
      </c>
      <c r="J39" s="6">
        <v>37</v>
      </c>
      <c r="K39" s="69">
        <f t="shared" si="4"/>
        <v>1126</v>
      </c>
      <c r="L39" s="73">
        <f t="shared" si="5"/>
        <v>101961121395.31583</v>
      </c>
      <c r="M39" s="70">
        <f t="shared" si="6"/>
        <v>3232132544.37274</v>
      </c>
      <c r="N39" s="70">
        <f t="shared" si="7"/>
        <v>758127781.1433355</v>
      </c>
      <c r="O39" s="71">
        <f t="shared" si="8"/>
        <v>3990260325.516075</v>
      </c>
    </row>
    <row r="40" spans="1:15" ht="12.75">
      <c r="A40" s="161">
        <v>43868</v>
      </c>
      <c r="B40" s="64">
        <f>IF(DIAS365('CALCULADORA TIS PESOS H-1'!$E$6,A40)&lt;0,0,DIAS365('CALCULADORA TIS PESOS H-1'!$E$6,A40))</f>
        <v>0</v>
      </c>
      <c r="C40" s="65">
        <f>+HLOOKUP('CALCULADORA TIS PESOS H-1'!$E$4,Tablas!$B$1:$B$181,Flujos!J40+1,FALSE)</f>
        <v>0.01568835</v>
      </c>
      <c r="D40" s="83">
        <f t="shared" si="1"/>
        <v>48.023374</v>
      </c>
      <c r="E40" s="66">
        <f t="shared" si="2"/>
        <v>1.568835</v>
      </c>
      <c r="F40" s="66">
        <f>ROUND(D39*ROUND(((1+'CALCULADORA TIS PESOS H-1'!$C$14)^(1/12)-1),6),6)</f>
        <v>0.357411</v>
      </c>
      <c r="G40" s="66">
        <f t="shared" si="3"/>
        <v>1.926246</v>
      </c>
      <c r="H40" s="67">
        <f>IF($B40=0,0,G40/POWER(1+'CALCULADORA TIS PESOS H-1'!$F$11,Flujos!$B40/365))</f>
        <v>0</v>
      </c>
      <c r="I40" s="68">
        <f t="shared" si="0"/>
        <v>43868</v>
      </c>
      <c r="J40" s="6">
        <v>38</v>
      </c>
      <c r="K40" s="69">
        <f t="shared" si="4"/>
        <v>1157</v>
      </c>
      <c r="L40" s="73">
        <f t="shared" si="5"/>
        <v>98735611197.04617</v>
      </c>
      <c r="M40" s="70">
        <f t="shared" si="6"/>
        <v>3225510198.269659</v>
      </c>
      <c r="N40" s="70">
        <f t="shared" si="7"/>
        <v>734833801.8960412</v>
      </c>
      <c r="O40" s="71">
        <f t="shared" si="8"/>
        <v>3960344000.1657</v>
      </c>
    </row>
    <row r="41" spans="1:15" ht="12.75">
      <c r="A41" s="161">
        <v>43897</v>
      </c>
      <c r="B41" s="64">
        <f>IF(DIAS365('CALCULADORA TIS PESOS H-1'!$E$6,A41)&lt;0,0,DIAS365('CALCULADORA TIS PESOS H-1'!$E$6,A41))</f>
        <v>0</v>
      </c>
      <c r="C41" s="65">
        <f>+HLOOKUP('CALCULADORA TIS PESOS H-1'!$E$4,Tablas!$B$1:$B$181,Flujos!J41+1,FALSE)</f>
        <v>0.01106182</v>
      </c>
      <c r="D41" s="83">
        <f t="shared" si="1"/>
        <v>46.917192</v>
      </c>
      <c r="E41" s="66">
        <f t="shared" si="2"/>
        <v>1.106182</v>
      </c>
      <c r="F41" s="66">
        <f>ROUND(D40*ROUND(((1+'CALCULADORA TIS PESOS H-1'!$C$14)^(1/12)-1),6),6)</f>
        <v>0.346104</v>
      </c>
      <c r="G41" s="66">
        <f t="shared" si="3"/>
        <v>1.452286</v>
      </c>
      <c r="H41" s="67">
        <f>IF($B41=0,0,G41/POWER(1+'CALCULADORA TIS PESOS H-1'!$F$11,Flujos!$B41/365))</f>
        <v>0</v>
      </c>
      <c r="I41" s="68">
        <f t="shared" si="0"/>
        <v>43897</v>
      </c>
      <c r="J41" s="6">
        <v>39</v>
      </c>
      <c r="K41" s="69">
        <f t="shared" si="4"/>
        <v>1185</v>
      </c>
      <c r="L41" s="73">
        <f t="shared" si="5"/>
        <v>96461311272.48921</v>
      </c>
      <c r="M41" s="70">
        <f t="shared" si="6"/>
        <v>2274299924.556966</v>
      </c>
      <c r="N41" s="70">
        <f t="shared" si="7"/>
        <v>711587549.8971118</v>
      </c>
      <c r="O41" s="71">
        <f t="shared" si="8"/>
        <v>2985887474.4540777</v>
      </c>
    </row>
    <row r="42" spans="1:15" ht="12.75">
      <c r="A42" s="161">
        <v>43928</v>
      </c>
      <c r="B42" s="64">
        <f>IF(DIAS365('CALCULADORA TIS PESOS H-1'!$E$6,A42)&lt;0,0,DIAS365('CALCULADORA TIS PESOS H-1'!$E$6,A42))</f>
        <v>0</v>
      </c>
      <c r="C42" s="65">
        <f>+HLOOKUP('CALCULADORA TIS PESOS H-1'!$E$4,Tablas!$B$1:$B$181,Flujos!J42+1,FALSE)</f>
        <v>0.00858464</v>
      </c>
      <c r="D42" s="83">
        <f t="shared" si="1"/>
        <v>46.058728</v>
      </c>
      <c r="E42" s="66">
        <f t="shared" si="2"/>
        <v>0.858464</v>
      </c>
      <c r="F42" s="66">
        <f>ROUND(D41*ROUND(((1+'CALCULADORA TIS PESOS H-1'!$C$14)^(1/12)-1),6),6)</f>
        <v>0.338132</v>
      </c>
      <c r="G42" s="66">
        <f t="shared" si="3"/>
        <v>1.196596</v>
      </c>
      <c r="H42" s="67">
        <f>IF($B42=0,0,G42/POWER(1+'CALCULADORA TIS PESOS H-1'!$F$11,Flujos!$B42/365))</f>
        <v>0</v>
      </c>
      <c r="I42" s="68">
        <f t="shared" si="0"/>
        <v>43928</v>
      </c>
      <c r="J42" s="6">
        <v>40</v>
      </c>
      <c r="K42" s="69">
        <f t="shared" si="4"/>
        <v>1216</v>
      </c>
      <c r="L42" s="73">
        <f t="shared" si="5"/>
        <v>94696317256.64474</v>
      </c>
      <c r="M42" s="70">
        <f t="shared" si="6"/>
        <v>1764994015.8444731</v>
      </c>
      <c r="N42" s="70">
        <f t="shared" si="7"/>
        <v>695196670.3408297</v>
      </c>
      <c r="O42" s="71">
        <f t="shared" si="8"/>
        <v>2460190686.1853027</v>
      </c>
    </row>
    <row r="43" spans="1:15" ht="12.75">
      <c r="A43" s="161">
        <v>43958</v>
      </c>
      <c r="B43" s="64">
        <f>IF(DIAS365('CALCULADORA TIS PESOS H-1'!$E$6,A43)&lt;0,0,DIAS365('CALCULADORA TIS PESOS H-1'!$E$6,A43))</f>
        <v>0</v>
      </c>
      <c r="C43" s="65">
        <f>+HLOOKUP('CALCULADORA TIS PESOS H-1'!$E$4,Tablas!$B$1:$B$181,Flujos!J43+1,FALSE)</f>
        <v>0.00746789</v>
      </c>
      <c r="D43" s="83">
        <f t="shared" si="1"/>
        <v>45.311939</v>
      </c>
      <c r="E43" s="66">
        <f t="shared" si="2"/>
        <v>0.746789</v>
      </c>
      <c r="F43" s="66">
        <f>ROUND(D42*ROUND(((1+'CALCULADORA TIS PESOS H-1'!$C$14)^(1/12)-1),6),6)</f>
        <v>0.331945</v>
      </c>
      <c r="G43" s="66">
        <f t="shared" si="3"/>
        <v>1.078734</v>
      </c>
      <c r="H43" s="67">
        <f>IF($B43=0,0,G43/POWER(1+'CALCULADORA TIS PESOS H-1'!$F$11,Flujos!$B43/365))</f>
        <v>0</v>
      </c>
      <c r="I43" s="68">
        <f t="shared" si="0"/>
        <v>43958</v>
      </c>
      <c r="J43" s="6">
        <v>41</v>
      </c>
      <c r="K43" s="69">
        <f t="shared" si="4"/>
        <v>1246</v>
      </c>
      <c r="L43" s="73">
        <f t="shared" si="5"/>
        <v>93160926004.24689</v>
      </c>
      <c r="M43" s="70">
        <f t="shared" si="6"/>
        <v>1535391252.3978622</v>
      </c>
      <c r="N43" s="70">
        <f t="shared" si="7"/>
        <v>682476358.4686387</v>
      </c>
      <c r="O43" s="71">
        <f t="shared" si="8"/>
        <v>2217867610.866501</v>
      </c>
    </row>
    <row r="44" spans="1:15" ht="12.75">
      <c r="A44" s="78">
        <v>43989</v>
      </c>
      <c r="B44" s="35">
        <f>IF(DIAS365('CALCULADORA TIS PESOS H-1'!$E$6,A44)&lt;0,0,DIAS365('CALCULADORA TIS PESOS H-1'!$E$6,A44))</f>
        <v>0</v>
      </c>
      <c r="C44" s="36">
        <f>+HLOOKUP('CALCULADORA TIS PESOS H-1'!$E$4,Tablas!$B$1:$B$181,Flujos!J44+1,FALSE)</f>
        <v>0.00475281</v>
      </c>
      <c r="D44" s="83">
        <f t="shared" si="1"/>
        <v>44.836658</v>
      </c>
      <c r="E44" s="37">
        <f t="shared" si="2"/>
        <v>0.475281</v>
      </c>
      <c r="F44" s="37">
        <f>ROUND(D43*ROUND(((1+'CALCULADORA TIS PESOS H-1'!$C$14)^(1/12)-1),6),6)</f>
        <v>0.326563</v>
      </c>
      <c r="G44" s="37">
        <f t="shared" si="3"/>
        <v>0.801844</v>
      </c>
      <c r="H44" s="38">
        <f>IF($B44=0,0,G44/POWER(1+'CALCULADORA TIS PESOS H-1'!$F$11,Flujos!$B44/365))</f>
        <v>0</v>
      </c>
      <c r="I44" s="39">
        <f t="shared" si="0"/>
        <v>43989</v>
      </c>
      <c r="J44" s="40">
        <v>42</v>
      </c>
      <c r="K44" s="41">
        <f t="shared" si="4"/>
        <v>1277</v>
      </c>
      <c r="L44" s="42">
        <f t="shared" si="5"/>
        <v>92183752679.74571</v>
      </c>
      <c r="M44" s="43">
        <f t="shared" si="6"/>
        <v>977173324.5011754</v>
      </c>
      <c r="N44" s="43">
        <f t="shared" si="7"/>
        <v>671410793.7126073</v>
      </c>
      <c r="O44" s="44">
        <f t="shared" si="8"/>
        <v>1648584118.2137828</v>
      </c>
    </row>
    <row r="45" spans="1:15" ht="12.75">
      <c r="A45" s="78">
        <v>44019</v>
      </c>
      <c r="B45" s="35">
        <f>IF(DIAS365('CALCULADORA TIS PESOS H-1'!$E$6,A45)&lt;0,0,DIAS365('CALCULADORA TIS PESOS H-1'!$E$6,A45))</f>
        <v>0</v>
      </c>
      <c r="C45" s="36">
        <f>+HLOOKUP('CALCULADORA TIS PESOS H-1'!$E$4,Tablas!$B$1:$B$181,Flujos!J45+1,FALSE)</f>
        <v>0.00720935</v>
      </c>
      <c r="D45" s="83">
        <f t="shared" si="1"/>
        <v>44.115723</v>
      </c>
      <c r="E45" s="37">
        <f t="shared" si="2"/>
        <v>0.720935</v>
      </c>
      <c r="F45" s="37">
        <f>ROUND(D44*ROUND(((1+'CALCULADORA TIS PESOS H-1'!$C$14)^(1/12)-1),6),6)</f>
        <v>0.323138</v>
      </c>
      <c r="G45" s="37">
        <f t="shared" si="3"/>
        <v>1.044073</v>
      </c>
      <c r="H45" s="38">
        <f>IF($B45=0,0,G45/POWER(1+'CALCULADORA TIS PESOS H-1'!$F$11,Flujos!$B45/365))</f>
        <v>0</v>
      </c>
      <c r="I45" s="39">
        <f t="shared" si="0"/>
        <v>44019</v>
      </c>
      <c r="J45" s="40">
        <v>43</v>
      </c>
      <c r="K45" s="41">
        <f t="shared" si="4"/>
        <v>1307</v>
      </c>
      <c r="L45" s="42">
        <f t="shared" si="5"/>
        <v>90701517011.37425</v>
      </c>
      <c r="M45" s="43">
        <f t="shared" si="6"/>
        <v>1482235668.371458</v>
      </c>
      <c r="N45" s="43">
        <f t="shared" si="7"/>
        <v>664368305.5629274</v>
      </c>
      <c r="O45" s="44">
        <f t="shared" si="8"/>
        <v>2146603973.9343853</v>
      </c>
    </row>
    <row r="46" spans="1:15" ht="12.75">
      <c r="A46" s="78">
        <v>44050</v>
      </c>
      <c r="B46" s="164">
        <f>IF(DIAS365('CALCULADORA TIS PESOS H-1'!$E$6,A46)&lt;0,0,DIAS365('CALCULADORA TIS PESOS H-1'!$E$6,A46))</f>
        <v>0</v>
      </c>
      <c r="C46" s="165">
        <f>+HLOOKUP('CALCULADORA TIS PESOS H-1'!$E$4,Tablas!$B$1:$B$181,Flujos!J46+1,FALSE)</f>
        <v>0.00980244</v>
      </c>
      <c r="D46" s="166">
        <f t="shared" si="1"/>
        <v>43.135479</v>
      </c>
      <c r="E46" s="167">
        <f t="shared" si="2"/>
        <v>0.980244</v>
      </c>
      <c r="F46" s="167">
        <f>ROUND(D45*ROUND(((1+'CALCULADORA TIS PESOS H-1'!$C$14)^(1/12)-1),6),6)</f>
        <v>0.317942</v>
      </c>
      <c r="G46" s="167">
        <f t="shared" si="3"/>
        <v>1.298186</v>
      </c>
      <c r="H46" s="168">
        <f>IF($B46=0,0,G46/POWER(1+'CALCULADORA TIS PESOS H-1'!$F$11,Flujos!$B46/365))</f>
        <v>0</v>
      </c>
      <c r="I46" s="169">
        <f t="shared" si="0"/>
        <v>44050</v>
      </c>
      <c r="J46" s="170">
        <v>44</v>
      </c>
      <c r="K46" s="171">
        <f t="shared" si="4"/>
        <v>1338</v>
      </c>
      <c r="L46" s="172">
        <f t="shared" si="5"/>
        <v>88686144445.87651</v>
      </c>
      <c r="M46" s="173">
        <f t="shared" si="6"/>
        <v>2015372565.497738</v>
      </c>
      <c r="N46" s="173">
        <f t="shared" si="7"/>
        <v>653685833.1009742</v>
      </c>
      <c r="O46" s="174">
        <f t="shared" si="8"/>
        <v>2669058398.598712</v>
      </c>
    </row>
    <row r="47" spans="1:15" ht="12.75">
      <c r="A47" s="78">
        <v>44081</v>
      </c>
      <c r="B47" s="164">
        <f>IF(DIAS365('CALCULADORA TIS PESOS H-1'!$E$6,A47)&lt;0,0,DIAS365('CALCULADORA TIS PESOS H-1'!$E$6,A47))</f>
        <v>0</v>
      </c>
      <c r="C47" s="165">
        <f>+HLOOKUP('CALCULADORA TIS PESOS H-1'!$E$4,Tablas!$B$1:$B$181,Flujos!J47+1,FALSE)</f>
        <v>0.01063472</v>
      </c>
      <c r="D47" s="166">
        <f t="shared" si="1"/>
        <v>42.072007</v>
      </c>
      <c r="E47" s="167">
        <f t="shared" si="2"/>
        <v>1.063472</v>
      </c>
      <c r="F47" s="167">
        <f>ROUND(D46*ROUND(((1+'CALCULADORA TIS PESOS H-1'!$C$14)^(1/12)-1),6),6)</f>
        <v>0.310877</v>
      </c>
      <c r="G47" s="167">
        <f t="shared" si="3"/>
        <v>1.374349</v>
      </c>
      <c r="H47" s="168">
        <f>IF($B47=0,0,G47/POWER(1+'CALCULADORA TIS PESOS H-1'!$F$11,Flujos!$B47/365))</f>
        <v>0</v>
      </c>
      <c r="I47" s="169">
        <f t="shared" si="0"/>
        <v>44081</v>
      </c>
      <c r="J47" s="170">
        <v>45</v>
      </c>
      <c r="K47" s="171">
        <f t="shared" si="4"/>
        <v>1369</v>
      </c>
      <c r="L47" s="172">
        <f t="shared" si="5"/>
        <v>86499655884.89067</v>
      </c>
      <c r="M47" s="173">
        <f t="shared" si="6"/>
        <v>2186488560.9858465</v>
      </c>
      <c r="N47" s="173">
        <f t="shared" si="7"/>
        <v>639161043.021432</v>
      </c>
      <c r="O47" s="174">
        <f t="shared" si="8"/>
        <v>2825649604.0072784</v>
      </c>
    </row>
    <row r="48" spans="1:15" ht="12.75">
      <c r="A48" s="78">
        <v>44111</v>
      </c>
      <c r="B48" s="164">
        <f>IF(DIAS365('CALCULADORA TIS PESOS H-1'!$E$6,A48)&lt;0,0,DIAS365('CALCULADORA TIS PESOS H-1'!$E$6,A48))</f>
        <v>0</v>
      </c>
      <c r="C48" s="165">
        <f>+HLOOKUP('CALCULADORA TIS PESOS H-1'!$E$4,Tablas!$B$1:$B$181,Flujos!J48+1,FALSE)</f>
        <v>0.01286901</v>
      </c>
      <c r="D48" s="166">
        <f t="shared" si="1"/>
        <v>40.785106</v>
      </c>
      <c r="E48" s="167">
        <f t="shared" si="2"/>
        <v>1.286901</v>
      </c>
      <c r="F48" s="167">
        <f>ROUND(D47*ROUND(((1+'CALCULADORA TIS PESOS H-1'!$C$14)^(1/12)-1),6),6)</f>
        <v>0.303213</v>
      </c>
      <c r="G48" s="167">
        <f t="shared" si="3"/>
        <v>1.590114</v>
      </c>
      <c r="H48" s="168">
        <f>IF($B48=0,0,G48/POWER(1+'CALCULADORA TIS PESOS H-1'!$F$11,Flujos!$B48/365))</f>
        <v>0</v>
      </c>
      <c r="I48" s="169">
        <f t="shared" si="0"/>
        <v>44111</v>
      </c>
      <c r="J48" s="170">
        <v>46</v>
      </c>
      <c r="K48" s="171">
        <f t="shared" si="4"/>
        <v>1399</v>
      </c>
      <c r="L48" s="172">
        <f t="shared" si="5"/>
        <v>83853799373.74487</v>
      </c>
      <c r="M48" s="173">
        <f t="shared" si="6"/>
        <v>2645856511.1458006</v>
      </c>
      <c r="N48" s="173">
        <f t="shared" si="7"/>
        <v>623403019.9624071</v>
      </c>
      <c r="O48" s="174">
        <f t="shared" si="8"/>
        <v>3269259531.1082077</v>
      </c>
    </row>
    <row r="49" spans="1:15" ht="12.75">
      <c r="A49" s="78">
        <v>44142</v>
      </c>
      <c r="B49" s="164">
        <f>IF(DIAS365('CALCULADORA TIS PESOS H-1'!$E$6,A49)&lt;0,0,DIAS365('CALCULADORA TIS PESOS H-1'!$E$6,A49))</f>
        <v>0</v>
      </c>
      <c r="C49" s="165">
        <f>+HLOOKUP('CALCULADORA TIS PESOS H-1'!$E$4,Tablas!$B$1:$B$181,Flujos!J49+1,FALSE)</f>
        <v>0.01165867</v>
      </c>
      <c r="D49" s="166">
        <f t="shared" si="1"/>
        <v>39.619239</v>
      </c>
      <c r="E49" s="167">
        <f t="shared" si="2"/>
        <v>1.165867</v>
      </c>
      <c r="F49" s="167">
        <f>ROUND(D48*ROUND(((1+'CALCULADORA TIS PESOS H-1'!$C$14)^(1/12)-1),6),6)</f>
        <v>0.293938</v>
      </c>
      <c r="G49" s="167">
        <f t="shared" si="3"/>
        <v>1.459805</v>
      </c>
      <c r="H49" s="168">
        <f>IF($B49=0,0,G49/POWER(1+'CALCULADORA TIS PESOS H-1'!$F$11,Flujos!$B49/365))</f>
        <v>0</v>
      </c>
      <c r="I49" s="169">
        <f t="shared" si="0"/>
        <v>44142</v>
      </c>
      <c r="J49" s="170">
        <v>47</v>
      </c>
      <c r="K49" s="171">
        <f t="shared" si="4"/>
        <v>1430</v>
      </c>
      <c r="L49" s="172">
        <f t="shared" si="5"/>
        <v>81456787643.17662</v>
      </c>
      <c r="M49" s="173">
        <f t="shared" si="6"/>
        <v>2397011730.5682573</v>
      </c>
      <c r="N49" s="173">
        <f t="shared" si="7"/>
        <v>604334332.0865793</v>
      </c>
      <c r="O49" s="174">
        <f t="shared" si="8"/>
        <v>3001346062.6548367</v>
      </c>
    </row>
    <row r="50" spans="1:15" s="27" customFormat="1" ht="12.75">
      <c r="A50" s="161">
        <v>44172</v>
      </c>
      <c r="B50" s="64">
        <f>IF(DIAS365('CALCULADORA TIS PESOS H-1'!$E$6,A50)&lt;0,0,DIAS365('CALCULADORA TIS PESOS H-1'!$E$6,A50))</f>
        <v>0</v>
      </c>
      <c r="C50" s="65">
        <f>+HLOOKUP('CALCULADORA TIS PESOS H-1'!$E$4,Tablas!$B$1:$B$181,Flujos!J50+1,FALSE)</f>
        <v>0.01141385</v>
      </c>
      <c r="D50" s="83">
        <f t="shared" si="1"/>
        <v>38.477854</v>
      </c>
      <c r="E50" s="66">
        <f t="shared" si="2"/>
        <v>1.141385</v>
      </c>
      <c r="F50" s="66">
        <f>ROUND(D49*ROUND(((1+'CALCULADORA TIS PESOS H-1'!$C$14)^(1/12)-1),6),6)</f>
        <v>0.285536</v>
      </c>
      <c r="G50" s="66">
        <f t="shared" si="3"/>
        <v>1.426921</v>
      </c>
      <c r="H50" s="67">
        <f>IF($B50=0,0,G50/POWER(1+'CALCULADORA TIS PESOS H-1'!$F$11,Flujos!$B50/365))</f>
        <v>0</v>
      </c>
      <c r="I50" s="68">
        <f t="shared" si="0"/>
        <v>44172</v>
      </c>
      <c r="J50" s="6">
        <v>48</v>
      </c>
      <c r="K50" s="69">
        <f t="shared" si="4"/>
        <v>1460</v>
      </c>
      <c r="L50" s="73">
        <f t="shared" si="5"/>
        <v>79110110677.3695</v>
      </c>
      <c r="M50" s="70">
        <f t="shared" si="6"/>
        <v>2346676965.807121</v>
      </c>
      <c r="N50" s="70">
        <f t="shared" si="7"/>
        <v>587059068.5443739</v>
      </c>
      <c r="O50" s="71">
        <f t="shared" si="8"/>
        <v>2933736034.351495</v>
      </c>
    </row>
    <row r="51" spans="1:15" s="27" customFormat="1" ht="12.75">
      <c r="A51" s="161">
        <v>44203</v>
      </c>
      <c r="B51" s="64">
        <f>IF(DIAS365('CALCULADORA TIS PESOS H-1'!$E$6,A51)&lt;0,0,DIAS365('CALCULADORA TIS PESOS H-1'!$E$6,A51))</f>
        <v>0</v>
      </c>
      <c r="C51" s="65">
        <f>+HLOOKUP('CALCULADORA TIS PESOS H-1'!$E$4,Tablas!$B$1:$B$181,Flujos!J51+1,FALSE)</f>
        <v>0.01465664</v>
      </c>
      <c r="D51" s="83">
        <f t="shared" si="1"/>
        <v>37.01219</v>
      </c>
      <c r="E51" s="66">
        <f t="shared" si="2"/>
        <v>1.465664</v>
      </c>
      <c r="F51" s="66">
        <f>ROUND(D50*ROUND(((1+'CALCULADORA TIS PESOS H-1'!$C$14)^(1/12)-1),6),6)</f>
        <v>0.27731</v>
      </c>
      <c r="G51" s="66">
        <f t="shared" si="3"/>
        <v>1.742974</v>
      </c>
      <c r="H51" s="67">
        <f>IF($B51=0,0,G51/POWER(1+'CALCULADORA TIS PESOS H-1'!$F$11,Flujos!$B51/365))</f>
        <v>0</v>
      </c>
      <c r="I51" s="68">
        <f t="shared" si="0"/>
        <v>44203</v>
      </c>
      <c r="J51" s="6">
        <v>49</v>
      </c>
      <c r="K51" s="69">
        <f t="shared" si="4"/>
        <v>1491</v>
      </c>
      <c r="L51" s="73">
        <f>IF(+(L50-M51)&lt;0,0,(L50-M51))</f>
        <v>76096719097.47952</v>
      </c>
      <c r="M51" s="70">
        <f t="shared" si="6"/>
        <v>3013391579.8899827</v>
      </c>
      <c r="N51" s="70">
        <f>+L50*$F$3%</f>
        <v>570146567.6518021</v>
      </c>
      <c r="O51" s="71">
        <f t="shared" si="8"/>
        <v>3583538147.541785</v>
      </c>
    </row>
    <row r="52" spans="1:15" s="27" customFormat="1" ht="12.75">
      <c r="A52" s="161">
        <v>44234</v>
      </c>
      <c r="B52" s="64">
        <f>IF(DIAS365('CALCULADORA TIS PESOS H-1'!$E$6,A52)&lt;0,0,DIAS365('CALCULADORA TIS PESOS H-1'!$E$6,A52))</f>
        <v>0</v>
      </c>
      <c r="C52" s="65">
        <f>+HLOOKUP('CALCULADORA TIS PESOS H-1'!$E$4,Tablas!$B$1:$B$181,Flujos!J52+1,FALSE)</f>
        <v>0.01924566</v>
      </c>
      <c r="D52" s="83">
        <f t="shared" si="1"/>
        <v>35.087624</v>
      </c>
      <c r="E52" s="66">
        <f t="shared" si="2"/>
        <v>1.924566</v>
      </c>
      <c r="F52" s="66">
        <f>ROUND(D51*ROUND(((1+'CALCULADORA TIS PESOS H-1'!$C$14)^(1/12)-1),6),6)</f>
        <v>0.266747</v>
      </c>
      <c r="G52" s="66">
        <f t="shared" si="3"/>
        <v>2.191313</v>
      </c>
      <c r="H52" s="67">
        <f>IF($B52=0,0,G52/POWER(1+'CALCULADORA TIS PESOS H-1'!$F$11,Flujos!$B52/365))</f>
        <v>0</v>
      </c>
      <c r="I52" s="68">
        <f t="shared" si="0"/>
        <v>44234</v>
      </c>
      <c r="J52" s="6">
        <v>50</v>
      </c>
      <c r="K52" s="69">
        <f t="shared" si="4"/>
        <v>1522</v>
      </c>
      <c r="L52" s="73">
        <f t="shared" si="5"/>
        <v>72139829265.06053</v>
      </c>
      <c r="M52" s="70">
        <f t="shared" si="6"/>
        <v>3956889832.418989</v>
      </c>
      <c r="N52" s="70">
        <f t="shared" si="7"/>
        <v>548429054.5355349</v>
      </c>
      <c r="O52" s="71">
        <f t="shared" si="8"/>
        <v>4505318886.954524</v>
      </c>
    </row>
    <row r="53" spans="1:15" s="27" customFormat="1" ht="12.75">
      <c r="A53" s="161">
        <v>44262</v>
      </c>
      <c r="B53" s="64">
        <f>IF(DIAS365('CALCULADORA TIS PESOS H-1'!$E$6,A53)&lt;0,0,DIAS365('CALCULADORA TIS PESOS H-1'!$E$6,A53))</f>
        <v>0</v>
      </c>
      <c r="C53" s="65">
        <f>+HLOOKUP('CALCULADORA TIS PESOS H-1'!$E$4,Tablas!$B$1:$B$181,Flujos!J53+1,FALSE)</f>
        <v>0.01519714</v>
      </c>
      <c r="D53" s="83">
        <f t="shared" si="1"/>
        <v>33.56791</v>
      </c>
      <c r="E53" s="66">
        <f t="shared" si="2"/>
        <v>1.519714</v>
      </c>
      <c r="F53" s="66">
        <f>ROUND(D52*ROUND(((1+'CALCULADORA TIS PESOS H-1'!$C$14)^(1/12)-1),6),6)</f>
        <v>0.252877</v>
      </c>
      <c r="G53" s="66">
        <f t="shared" si="3"/>
        <v>1.772591</v>
      </c>
      <c r="H53" s="67">
        <f>IF($B53=0,0,G53/POWER(1+'CALCULADORA TIS PESOS H-1'!$F$11,Flujos!$B53/365))</f>
        <v>0</v>
      </c>
      <c r="I53" s="68">
        <f t="shared" si="0"/>
        <v>44262</v>
      </c>
      <c r="J53" s="6">
        <v>51</v>
      </c>
      <c r="K53" s="69">
        <f t="shared" si="4"/>
        <v>1550</v>
      </c>
      <c r="L53" s="73">
        <f t="shared" si="5"/>
        <v>69015311386.8559</v>
      </c>
      <c r="M53" s="70">
        <f t="shared" si="6"/>
        <v>3124517878.20464</v>
      </c>
      <c r="N53" s="70">
        <f t="shared" si="7"/>
        <v>519911749.51329124</v>
      </c>
      <c r="O53" s="71">
        <f t="shared" si="8"/>
        <v>3644429627.7179313</v>
      </c>
    </row>
    <row r="54" spans="1:15" s="27" customFormat="1" ht="12.75">
      <c r="A54" s="161">
        <v>44293</v>
      </c>
      <c r="B54" s="64">
        <f>IF(DIAS365('CALCULADORA TIS PESOS H-1'!$E$6,A54)&lt;0,0,DIAS365('CALCULADORA TIS PESOS H-1'!$E$6,A54))</f>
        <v>0</v>
      </c>
      <c r="C54" s="65">
        <f>+HLOOKUP('CALCULADORA TIS PESOS H-1'!$E$4,Tablas!$B$1:$B$181,Flujos!J54+1,FALSE)</f>
        <v>0.01421483</v>
      </c>
      <c r="D54" s="83">
        <f t="shared" si="1"/>
        <v>32.146427</v>
      </c>
      <c r="E54" s="66">
        <f t="shared" si="2"/>
        <v>1.421483</v>
      </c>
      <c r="F54" s="66">
        <f>ROUND(D53*ROUND(((1+'CALCULADORA TIS PESOS H-1'!$C$14)^(1/12)-1),6),6)</f>
        <v>0.241924</v>
      </c>
      <c r="G54" s="66">
        <f t="shared" si="3"/>
        <v>1.663407</v>
      </c>
      <c r="H54" s="67">
        <f>IF($B54=0,0,G54/POWER(1+'CALCULADORA TIS PESOS H-1'!$F$11,Flujos!$B54/365))</f>
        <v>0</v>
      </c>
      <c r="I54" s="68">
        <f t="shared" si="0"/>
        <v>44293</v>
      </c>
      <c r="J54" s="6">
        <v>52</v>
      </c>
      <c r="K54" s="69">
        <f t="shared" si="4"/>
        <v>1581</v>
      </c>
      <c r="L54" s="73">
        <f t="shared" si="5"/>
        <v>66092755532.88339</v>
      </c>
      <c r="M54" s="70">
        <f t="shared" si="6"/>
        <v>2922555853.9725013</v>
      </c>
      <c r="N54" s="70">
        <f t="shared" si="7"/>
        <v>497393349.1650704</v>
      </c>
      <c r="O54" s="71">
        <f t="shared" si="8"/>
        <v>3419949203.137572</v>
      </c>
    </row>
    <row r="55" spans="1:15" s="27" customFormat="1" ht="12.75">
      <c r="A55" s="161">
        <v>44323</v>
      </c>
      <c r="B55" s="64">
        <f>IF(DIAS365('CALCULADORA TIS PESOS H-1'!$E$6,A55)&lt;0,0,DIAS365('CALCULADORA TIS PESOS H-1'!$E$6,A55))</f>
        <v>0</v>
      </c>
      <c r="C55" s="65">
        <f>+HLOOKUP('CALCULADORA TIS PESOS H-1'!$E$4,Tablas!$B$1:$B$181,Flujos!J55+1,FALSE)</f>
        <v>0.0178434</v>
      </c>
      <c r="D55" s="83">
        <f t="shared" si="1"/>
        <v>30.362087</v>
      </c>
      <c r="E55" s="66">
        <f t="shared" si="2"/>
        <v>1.78434</v>
      </c>
      <c r="F55" s="66">
        <f>ROUND(D54*ROUND(((1+'CALCULADORA TIS PESOS H-1'!$C$14)^(1/12)-1),6),6)</f>
        <v>0.231679</v>
      </c>
      <c r="G55" s="66">
        <f t="shared" si="3"/>
        <v>2.016019</v>
      </c>
      <c r="H55" s="67">
        <f>IF($B55=0,0,G55/POWER(1+'CALCULADORA TIS PESOS H-1'!$F$11,Flujos!$B55/365))</f>
        <v>0</v>
      </c>
      <c r="I55" s="68">
        <f t="shared" si="0"/>
        <v>44323</v>
      </c>
      <c r="J55" s="6">
        <v>53</v>
      </c>
      <c r="K55" s="69">
        <f t="shared" si="4"/>
        <v>1611</v>
      </c>
      <c r="L55" s="73">
        <f t="shared" si="5"/>
        <v>62424169054.904205</v>
      </c>
      <c r="M55" s="70">
        <f t="shared" si="6"/>
        <v>3668586477.97919</v>
      </c>
      <c r="N55" s="70">
        <f t="shared" si="7"/>
        <v>476330489.1254906</v>
      </c>
      <c r="O55" s="71">
        <f t="shared" si="8"/>
        <v>4144916967.1046805</v>
      </c>
    </row>
    <row r="56" spans="1:15" s="27" customFormat="1" ht="12.75">
      <c r="A56" s="161">
        <v>44354</v>
      </c>
      <c r="B56" s="64">
        <f>IF(DIAS365('CALCULADORA TIS PESOS H-1'!$E$6,A56)&lt;0,0,DIAS365('CALCULADORA TIS PESOS H-1'!$E$6,A56))</f>
        <v>0</v>
      </c>
      <c r="C56" s="65">
        <f>+HLOOKUP('CALCULADORA TIS PESOS H-1'!$E$4,Tablas!$B$1:$B$181,Flujos!J56+1,FALSE)</f>
        <v>0.01137641</v>
      </c>
      <c r="D56" s="83">
        <f t="shared" si="1"/>
        <v>29.224446</v>
      </c>
      <c r="E56" s="66">
        <f t="shared" si="2"/>
        <v>1.137641</v>
      </c>
      <c r="F56" s="66">
        <f>ROUND(D55*ROUND(((1+'CALCULADORA TIS PESOS H-1'!$C$14)^(1/12)-1),6),6)</f>
        <v>0.21882</v>
      </c>
      <c r="G56" s="66">
        <f t="shared" si="3"/>
        <v>1.356461</v>
      </c>
      <c r="H56" s="67">
        <f>IF($B56=0,0,G56/POWER(1+'CALCULADORA TIS PESOS H-1'!$F$11,Flujos!$B56/365))</f>
        <v>0</v>
      </c>
      <c r="I56" s="68">
        <f t="shared" si="0"/>
        <v>44354</v>
      </c>
      <c r="J56" s="6">
        <v>54</v>
      </c>
      <c r="K56" s="69">
        <f t="shared" si="4"/>
        <v>1642</v>
      </c>
      <c r="L56" s="73">
        <f t="shared" si="5"/>
        <v>60085189718.34574</v>
      </c>
      <c r="M56" s="70">
        <f t="shared" si="6"/>
        <v>2338979336.5584607</v>
      </c>
      <c r="N56" s="70">
        <f t="shared" si="7"/>
        <v>449890986.3786946</v>
      </c>
      <c r="O56" s="71">
        <f t="shared" si="8"/>
        <v>2788870322.9371552</v>
      </c>
    </row>
    <row r="57" spans="1:15" s="187" customFormat="1" ht="12.75">
      <c r="A57" s="161">
        <v>44384</v>
      </c>
      <c r="B57" s="64">
        <f>IF(DIAS365('CALCULADORA TIS PESOS H-1'!$E$6,A57)&lt;0,0,DIAS365('CALCULADORA TIS PESOS H-1'!$E$6,A57))</f>
        <v>0</v>
      </c>
      <c r="C57" s="65">
        <f>+HLOOKUP('CALCULADORA TIS PESOS H-1'!$E$4,Tablas!$B$1:$B$181,Flujos!J57+1,FALSE)</f>
        <v>0.01666539</v>
      </c>
      <c r="D57" s="83">
        <f t="shared" si="1"/>
        <v>27.557907</v>
      </c>
      <c r="E57" s="66">
        <f t="shared" si="2"/>
        <v>1.666539</v>
      </c>
      <c r="F57" s="66">
        <f>ROUND(D56*ROUND(((1+'CALCULADORA TIS PESOS H-1'!$C$14)^(1/12)-1),6),6)</f>
        <v>0.210621</v>
      </c>
      <c r="G57" s="66">
        <f t="shared" si="3"/>
        <v>1.87716</v>
      </c>
      <c r="H57" s="67">
        <f>IF($B57=0,0,G57/POWER(1+'CALCULADORA TIS PESOS H-1'!$F$11,Flujos!$B57/365))</f>
        <v>0</v>
      </c>
      <c r="I57" s="68">
        <f t="shared" si="0"/>
        <v>44384</v>
      </c>
      <c r="J57" s="6">
        <v>55</v>
      </c>
      <c r="K57" s="69">
        <f t="shared" si="4"/>
        <v>1672</v>
      </c>
      <c r="L57" s="73">
        <f t="shared" si="5"/>
        <v>56658801002.95239</v>
      </c>
      <c r="M57" s="70">
        <f t="shared" si="6"/>
        <v>3426388715.393345</v>
      </c>
      <c r="N57" s="70">
        <f t="shared" si="7"/>
        <v>433033962.30011773</v>
      </c>
      <c r="O57" s="71">
        <f t="shared" si="8"/>
        <v>3859422677.6934624</v>
      </c>
    </row>
    <row r="58" spans="1:15" s="27" customFormat="1" ht="12.75">
      <c r="A58" s="161">
        <v>44415</v>
      </c>
      <c r="B58" s="64">
        <f>IF(DIAS365('CALCULADORA TIS PESOS H-1'!$E$6,A58)&lt;0,0,DIAS365('CALCULADORA TIS PESOS H-1'!$E$6,A58))</f>
        <v>0</v>
      </c>
      <c r="C58" s="65">
        <f>+HLOOKUP('CALCULADORA TIS PESOS H-1'!$E$4,Tablas!$B$1:$B$181,Flujos!J58+1,FALSE)</f>
        <v>0.0148387</v>
      </c>
      <c r="D58" s="83">
        <f t="shared" si="1"/>
        <v>26.074037</v>
      </c>
      <c r="E58" s="66">
        <f t="shared" si="2"/>
        <v>1.48387</v>
      </c>
      <c r="F58" s="66">
        <f>ROUND(D57*ROUND(((1+'CALCULADORA TIS PESOS H-1'!$C$14)^(1/12)-1),6),6)</f>
        <v>0.19861</v>
      </c>
      <c r="G58" s="66">
        <f t="shared" si="3"/>
        <v>1.68248</v>
      </c>
      <c r="H58" s="67">
        <f>IF($B58=0,0,G58/POWER(1+'CALCULADORA TIS PESOS H-1'!$F$11,Flujos!$B58/365))</f>
        <v>0</v>
      </c>
      <c r="I58" s="68">
        <f t="shared" si="0"/>
        <v>44415</v>
      </c>
      <c r="J58" s="6">
        <v>56</v>
      </c>
      <c r="K58" s="69">
        <f t="shared" si="4"/>
        <v>1703</v>
      </c>
      <c r="L58" s="73">
        <f t="shared" si="5"/>
        <v>53607978056.048225</v>
      </c>
      <c r="M58" s="70">
        <f t="shared" si="6"/>
        <v>3050822946.9041667</v>
      </c>
      <c r="N58" s="70">
        <f t="shared" si="7"/>
        <v>408339978.8282779</v>
      </c>
      <c r="O58" s="71">
        <f t="shared" si="8"/>
        <v>3459162925.732445</v>
      </c>
    </row>
    <row r="59" spans="1:15" s="27" customFormat="1" ht="12.75">
      <c r="A59" s="161">
        <v>44446</v>
      </c>
      <c r="B59" s="64">
        <f>IF(DIAS365('CALCULADORA TIS PESOS H-1'!$E$6,A59)&lt;0,0,DIAS365('CALCULADORA TIS PESOS H-1'!$E$6,A59))</f>
        <v>0</v>
      </c>
      <c r="C59" s="65">
        <f>+HLOOKUP('CALCULADORA TIS PESOS H-1'!$E$4,Tablas!$B$1:$B$181,Flujos!J59+1,FALSE)</f>
        <v>0.01213439</v>
      </c>
      <c r="D59" s="83">
        <f t="shared" si="1"/>
        <v>24.860598</v>
      </c>
      <c r="E59" s="66">
        <f t="shared" si="2"/>
        <v>1.213439</v>
      </c>
      <c r="F59" s="66">
        <f>ROUND(D58*ROUND(((1+'CALCULADORA TIS PESOS H-1'!$C$14)^(1/12)-1),6),6)</f>
        <v>0.187916</v>
      </c>
      <c r="G59" s="66">
        <f t="shared" si="3"/>
        <v>1.401355</v>
      </c>
      <c r="H59" s="67">
        <f>IF($B59=0,0,G59/POWER(1+'CALCULADORA TIS PESOS H-1'!$F$11,Flujos!$B59/365))</f>
        <v>0</v>
      </c>
      <c r="I59" s="68">
        <f t="shared" si="0"/>
        <v>44446</v>
      </c>
      <c r="J59" s="6">
        <v>57</v>
      </c>
      <c r="K59" s="69">
        <f t="shared" si="4"/>
        <v>1734</v>
      </c>
      <c r="L59" s="73">
        <f t="shared" si="5"/>
        <v>51113158735.03732</v>
      </c>
      <c r="M59" s="70">
        <f t="shared" si="6"/>
        <v>2494819321.010901</v>
      </c>
      <c r="N59" s="70">
        <f t="shared" si="7"/>
        <v>386352697.8499395</v>
      </c>
      <c r="O59" s="71">
        <f t="shared" si="8"/>
        <v>2881172018.8608403</v>
      </c>
    </row>
    <row r="60" spans="1:15" s="27" customFormat="1" ht="12.75">
      <c r="A60" s="161">
        <v>44476</v>
      </c>
      <c r="B60" s="64">
        <f>IF(DIAS365('CALCULADORA TIS PESOS H-1'!$E$6,A60)&lt;0,0,DIAS365('CALCULADORA TIS PESOS H-1'!$E$6,A60))</f>
        <v>0</v>
      </c>
      <c r="C60" s="65">
        <f>+HLOOKUP('CALCULADORA TIS PESOS H-1'!$E$4,Tablas!$B$1:$B$181,Flujos!J60+1,FALSE)</f>
        <v>0.01816922</v>
      </c>
      <c r="D60" s="83">
        <f t="shared" si="1"/>
        <v>23.043676</v>
      </c>
      <c r="E60" s="66">
        <f t="shared" si="2"/>
        <v>1.816922</v>
      </c>
      <c r="F60" s="66">
        <f>ROUND(D59*ROUND(((1+'CALCULADORA TIS PESOS H-1'!$C$14)^(1/12)-1),6),6)</f>
        <v>0.17917</v>
      </c>
      <c r="G60" s="66">
        <f t="shared" si="3"/>
        <v>1.996092</v>
      </c>
      <c r="H60" s="67">
        <f>IF($B60=0,0,G60/POWER(1+'CALCULADORA TIS PESOS H-1'!$F$11,Flujos!$B60/365))</f>
        <v>0</v>
      </c>
      <c r="I60" s="68">
        <f t="shared" si="0"/>
        <v>44476</v>
      </c>
      <c r="J60" s="6">
        <v>58</v>
      </c>
      <c r="K60" s="69">
        <f t="shared" si="4"/>
        <v>1764</v>
      </c>
      <c r="L60" s="73">
        <f t="shared" si="5"/>
        <v>47377583967.48019</v>
      </c>
      <c r="M60" s="70">
        <f t="shared" si="6"/>
        <v>3735574767.5571394</v>
      </c>
      <c r="N60" s="70">
        <f t="shared" si="7"/>
        <v>368372535.003414</v>
      </c>
      <c r="O60" s="71">
        <f t="shared" si="8"/>
        <v>4103947302.5605536</v>
      </c>
    </row>
    <row r="61" spans="1:15" s="27" customFormat="1" ht="12.75">
      <c r="A61" s="161">
        <v>44507</v>
      </c>
      <c r="B61" s="64">
        <f>IF(DIAS365('CALCULADORA TIS PESOS H-1'!$E$6,A61)&lt;0,0,DIAS365('CALCULADORA TIS PESOS H-1'!$E$6,A61))</f>
        <v>0</v>
      </c>
      <c r="C61" s="65">
        <f>+HLOOKUP('CALCULADORA TIS PESOS H-1'!$E$4,Tablas!$B$1:$B$181,Flujos!J61+1,FALSE)</f>
        <v>0.01338278</v>
      </c>
      <c r="D61" s="83">
        <f t="shared" si="1"/>
        <v>21.705398</v>
      </c>
      <c r="E61" s="66">
        <f t="shared" si="2"/>
        <v>1.338278</v>
      </c>
      <c r="F61" s="66">
        <f>ROUND(D60*ROUND(((1+'CALCULADORA TIS PESOS H-1'!$C$14)^(1/12)-1),6),6)</f>
        <v>0.166076</v>
      </c>
      <c r="G61" s="66">
        <f t="shared" si="3"/>
        <v>1.5043540000000002</v>
      </c>
      <c r="H61" s="67">
        <f>IF($B61=0,0,G61/POWER(1+'CALCULADORA TIS PESOS H-1'!$F$11,Flujos!$B61/365))</f>
        <v>0</v>
      </c>
      <c r="I61" s="68">
        <f t="shared" si="0"/>
        <v>44507</v>
      </c>
      <c r="J61" s="6">
        <v>59</v>
      </c>
      <c r="K61" s="69">
        <f t="shared" si="4"/>
        <v>1795</v>
      </c>
      <c r="L61" s="73">
        <f t="shared" si="5"/>
        <v>44626096821.209274</v>
      </c>
      <c r="M61" s="70">
        <f t="shared" si="6"/>
        <v>2751487146.27091</v>
      </c>
      <c r="N61" s="70">
        <f t="shared" si="7"/>
        <v>341450247.6536297</v>
      </c>
      <c r="O61" s="71">
        <f t="shared" si="8"/>
        <v>3092937393.9245396</v>
      </c>
    </row>
    <row r="62" spans="1:15" s="27" customFormat="1" ht="14.25" customHeight="1">
      <c r="A62" s="161">
        <v>44537</v>
      </c>
      <c r="B62" s="64">
        <f>IF(DIAS365('CALCULADORA TIS PESOS H-1'!$E$6,A62)&lt;0,0,DIAS365('CALCULADORA TIS PESOS H-1'!$E$6,A62))</f>
        <v>0</v>
      </c>
      <c r="C62" s="65">
        <f>+HLOOKUP('CALCULADORA TIS PESOS H-1'!$E$4,Tablas!$B$1:$B$181,Flujos!J62+1,FALSE)</f>
        <v>0.01069855</v>
      </c>
      <c r="D62" s="83">
        <f t="shared" si="1"/>
        <v>20.635543</v>
      </c>
      <c r="E62" s="66">
        <f t="shared" si="2"/>
        <v>1.069855</v>
      </c>
      <c r="F62" s="66">
        <f>ROUND(D61*ROUND(((1+'CALCULADORA TIS PESOS H-1'!$C$14)^(1/12)-1),6),6)</f>
        <v>0.156431</v>
      </c>
      <c r="G62" s="66">
        <f t="shared" si="3"/>
        <v>1.226286</v>
      </c>
      <c r="H62" s="67">
        <f>IF($B62=0,0,G62/POWER(1+'CALCULADORA TIS PESOS H-1'!$F$11,Flujos!$B62/365))</f>
        <v>0</v>
      </c>
      <c r="I62" s="68">
        <f t="shared" si="0"/>
        <v>44537</v>
      </c>
      <c r="J62" s="6">
        <v>60</v>
      </c>
      <c r="K62" s="69">
        <f t="shared" si="4"/>
        <v>1825</v>
      </c>
      <c r="L62" s="73">
        <f t="shared" si="5"/>
        <v>42426484871.469635</v>
      </c>
      <c r="M62" s="70">
        <f t="shared" si="6"/>
        <v>2199611949.7396383</v>
      </c>
      <c r="N62" s="70">
        <f t="shared" si="7"/>
        <v>321620279.7904552</v>
      </c>
      <c r="O62" s="71">
        <f t="shared" si="8"/>
        <v>2521232229.5300937</v>
      </c>
    </row>
    <row r="63" spans="1:15" s="27" customFormat="1" ht="12.75">
      <c r="A63" s="161">
        <v>44568</v>
      </c>
      <c r="B63" s="64">
        <f>IF(DIAS365('CALCULADORA TIS PESOS H-1'!$E$6,A63)&lt;0,0,DIAS365('CALCULADORA TIS PESOS H-1'!$E$6,A63))</f>
        <v>0</v>
      </c>
      <c r="C63" s="65">
        <f>+HLOOKUP('CALCULADORA TIS PESOS H-1'!$E$4,Tablas!$B$1:$B$181,Flujos!J63+1,FALSE)</f>
        <v>0.01367835</v>
      </c>
      <c r="D63" s="83">
        <f t="shared" si="1"/>
        <v>19.267708</v>
      </c>
      <c r="E63" s="66">
        <f t="shared" si="2"/>
        <v>1.367835</v>
      </c>
      <c r="F63" s="66">
        <f>ROUND(D62*ROUND(((1+'CALCULADORA TIS PESOS H-1'!$C$14)^(1/12)-1),6),6)</f>
        <v>0.14872</v>
      </c>
      <c r="G63" s="66">
        <f t="shared" si="3"/>
        <v>1.5165549999999999</v>
      </c>
      <c r="H63" s="67">
        <f>IF($B63=0,0,G63/POWER(1+'CALCULADORA TIS PESOS H-1'!$F$11,Flujos!$B63/365))</f>
        <v>0</v>
      </c>
      <c r="I63" s="68">
        <f t="shared" si="0"/>
        <v>44568</v>
      </c>
      <c r="J63" s="6">
        <v>61</v>
      </c>
      <c r="K63" s="69">
        <f t="shared" si="4"/>
        <v>1856</v>
      </c>
      <c r="L63" s="73">
        <f t="shared" si="5"/>
        <v>39614228807.543106</v>
      </c>
      <c r="M63" s="70">
        <f t="shared" si="6"/>
        <v>2812256063.926531</v>
      </c>
      <c r="N63" s="70">
        <f t="shared" si="7"/>
        <v>305767676.46868163</v>
      </c>
      <c r="O63" s="71">
        <f t="shared" si="8"/>
        <v>3118023740.3952127</v>
      </c>
    </row>
    <row r="64" spans="1:15" s="27" customFormat="1" ht="12.75">
      <c r="A64" s="161">
        <v>44599</v>
      </c>
      <c r="B64" s="64">
        <f>IF(DIAS365('CALCULADORA TIS PESOS H-1'!$E$6,A64)&lt;0,0,DIAS365('CALCULADORA TIS PESOS H-1'!$E$6,A64))</f>
        <v>0</v>
      </c>
      <c r="C64" s="65">
        <f>+HLOOKUP('CALCULADORA TIS PESOS H-1'!$E$4,Tablas!$B$1:$B$181,Flujos!J64+1,FALSE)</f>
        <v>0.01319075</v>
      </c>
      <c r="D64" s="83">
        <f t="shared" si="1"/>
        <v>17.948633</v>
      </c>
      <c r="E64" s="66">
        <f t="shared" si="2"/>
        <v>1.319075</v>
      </c>
      <c r="F64" s="66">
        <f>ROUND(D63*ROUND(((1+'CALCULADORA TIS PESOS H-1'!$C$14)^(1/12)-1),6),6)</f>
        <v>0.138862</v>
      </c>
      <c r="G64" s="66">
        <f t="shared" si="3"/>
        <v>1.457937</v>
      </c>
      <c r="H64" s="67">
        <f>IF($B64=0,0,G64/POWER(1+'CALCULADORA TIS PESOS H-1'!$F$11,Flujos!$B64/365))</f>
        <v>0</v>
      </c>
      <c r="I64" s="68">
        <f t="shared" si="0"/>
        <v>44599</v>
      </c>
      <c r="J64" s="6">
        <v>62</v>
      </c>
      <c r="K64" s="69">
        <f t="shared" si="4"/>
        <v>1887</v>
      </c>
      <c r="L64" s="73">
        <f t="shared" si="5"/>
        <v>36902222851.03235</v>
      </c>
      <c r="M64" s="70">
        <f t="shared" si="6"/>
        <v>2712005956.5107546</v>
      </c>
      <c r="N64" s="70">
        <f t="shared" si="7"/>
        <v>285499747.01596314</v>
      </c>
      <c r="O64" s="71">
        <f t="shared" si="8"/>
        <v>2997505703.5267177</v>
      </c>
    </row>
    <row r="65" spans="1:15" s="27" customFormat="1" ht="12.75">
      <c r="A65" s="161">
        <v>44627</v>
      </c>
      <c r="B65" s="64">
        <f>IF(DIAS365('CALCULADORA TIS PESOS H-1'!$E$6,A65)&lt;0,0,DIAS365('CALCULADORA TIS PESOS H-1'!$E$6,A65))</f>
        <v>0</v>
      </c>
      <c r="C65" s="65">
        <f>+HLOOKUP('CALCULADORA TIS PESOS H-1'!$E$4,Tablas!$B$1:$B$181,Flujos!J65+1,FALSE)</f>
        <v>0.01195708</v>
      </c>
      <c r="D65" s="83">
        <f t="shared" si="1"/>
        <v>16.752925</v>
      </c>
      <c r="E65" s="66">
        <f t="shared" si="2"/>
        <v>1.195708</v>
      </c>
      <c r="F65" s="66">
        <f>ROUND(D64*ROUND(((1+'CALCULADORA TIS PESOS H-1'!$C$14)^(1/12)-1),6),6)</f>
        <v>0.129356</v>
      </c>
      <c r="G65" s="66">
        <f t="shared" si="3"/>
        <v>1.325064</v>
      </c>
      <c r="H65" s="67">
        <f>IF($B65=0,0,G65/POWER(1+'CALCULADORA TIS PESOS H-1'!$F$11,Flujos!$B65/365))</f>
        <v>0</v>
      </c>
      <c r="I65" s="68">
        <f t="shared" si="0"/>
        <v>44627</v>
      </c>
      <c r="J65" s="6">
        <v>63</v>
      </c>
      <c r="K65" s="69">
        <f t="shared" si="4"/>
        <v>1915</v>
      </c>
      <c r="L65" s="73">
        <f t="shared" si="5"/>
        <v>34443858301.44452</v>
      </c>
      <c r="M65" s="70">
        <f t="shared" si="6"/>
        <v>2458364549.5878263</v>
      </c>
      <c r="N65" s="70">
        <f t="shared" si="7"/>
        <v>265954320.08739012</v>
      </c>
      <c r="O65" s="71">
        <f t="shared" si="8"/>
        <v>2724318869.675216</v>
      </c>
    </row>
    <row r="66" spans="1:15" s="27" customFormat="1" ht="12.75">
      <c r="A66" s="161">
        <v>44658</v>
      </c>
      <c r="B66" s="64">
        <f>IF(DIAS365('CALCULADORA TIS PESOS H-1'!$E$6,A66)&lt;0,0,DIAS365('CALCULADORA TIS PESOS H-1'!$E$6,A66))</f>
        <v>0</v>
      </c>
      <c r="C66" s="65">
        <f>+HLOOKUP('CALCULADORA TIS PESOS H-1'!$E$4,Tablas!$B$1:$B$181,Flujos!J66+1,FALSE)</f>
        <v>0.01545762</v>
      </c>
      <c r="D66" s="83">
        <f t="shared" si="1"/>
        <v>15.207163</v>
      </c>
      <c r="E66" s="66">
        <f t="shared" si="2"/>
        <v>1.545762</v>
      </c>
      <c r="F66" s="66">
        <f>ROUND(D65*ROUND(((1+'CALCULADORA TIS PESOS H-1'!$C$14)^(1/12)-1),6),6)</f>
        <v>0.120738</v>
      </c>
      <c r="G66" s="66">
        <f t="shared" si="3"/>
        <v>1.6665</v>
      </c>
      <c r="H66" s="67">
        <f>IF($B66=0,0,G66/POWER(1+'CALCULADORA TIS PESOS H-1'!$F$11,Flujos!$B66/365))</f>
        <v>0</v>
      </c>
      <c r="I66" s="68">
        <f t="shared" si="0"/>
        <v>44658</v>
      </c>
      <c r="J66" s="6">
        <v>64</v>
      </c>
      <c r="K66" s="69">
        <f t="shared" si="4"/>
        <v>1946</v>
      </c>
      <c r="L66" s="73">
        <f t="shared" si="5"/>
        <v>31265785977.01416</v>
      </c>
      <c r="M66" s="70">
        <f t="shared" si="6"/>
        <v>3178072324.4303603</v>
      </c>
      <c r="N66" s="70">
        <f t="shared" si="7"/>
        <v>248236886.77851063</v>
      </c>
      <c r="O66" s="71">
        <f t="shared" si="8"/>
        <v>3426309211.208871</v>
      </c>
    </row>
    <row r="67" spans="1:15" s="27" customFormat="1" ht="12.75">
      <c r="A67" s="161">
        <v>44688</v>
      </c>
      <c r="B67" s="64">
        <f>IF(DIAS365('CALCULADORA TIS PESOS H-1'!$E$6,A67)&lt;0,0,DIAS365('CALCULADORA TIS PESOS H-1'!$E$6,A67))</f>
        <v>0</v>
      </c>
      <c r="C67" s="65">
        <f>+HLOOKUP('CALCULADORA TIS PESOS H-1'!$E$4,Tablas!$B$1:$B$181,Flujos!J67+1,FALSE)</f>
        <v>0.01324005</v>
      </c>
      <c r="D67" s="83">
        <f t="shared" si="1"/>
        <v>13.883158</v>
      </c>
      <c r="E67" s="66">
        <f t="shared" si="2"/>
        <v>1.324005</v>
      </c>
      <c r="F67" s="66">
        <f>ROUND(D66*ROUND(((1+'CALCULADORA TIS PESOS H-1'!$C$14)^(1/12)-1),6),6)</f>
        <v>0.109598</v>
      </c>
      <c r="G67" s="66">
        <f t="shared" si="3"/>
        <v>1.4336030000000002</v>
      </c>
      <c r="H67" s="67">
        <f>IF($B67=0,0,G67/POWER(1+'CALCULADORA TIS PESOS H-1'!$F$11,Flujos!$B67/365))</f>
        <v>0</v>
      </c>
      <c r="I67" s="68">
        <f aca="true" t="shared" si="9" ref="I67:I130">+A67</f>
        <v>44688</v>
      </c>
      <c r="J67" s="6">
        <v>65</v>
      </c>
      <c r="K67" s="69">
        <f t="shared" si="4"/>
        <v>1976</v>
      </c>
      <c r="L67" s="73">
        <f t="shared" si="5"/>
        <v>28543643986.26305</v>
      </c>
      <c r="M67" s="70">
        <f t="shared" si="6"/>
        <v>2722141990.751111</v>
      </c>
      <c r="N67" s="70">
        <f t="shared" si="7"/>
        <v>225332519.53634104</v>
      </c>
      <c r="O67" s="71">
        <f t="shared" si="8"/>
        <v>2947474510.287452</v>
      </c>
    </row>
    <row r="68" spans="1:15" s="27" customFormat="1" ht="12.75">
      <c r="A68" s="161">
        <v>44719</v>
      </c>
      <c r="B68" s="64">
        <f>IF(DIAS365('CALCULADORA TIS PESOS H-1'!$E$6,A68)&lt;0,0,DIAS365('CALCULADORA TIS PESOS H-1'!$E$6,A68))</f>
        <v>0</v>
      </c>
      <c r="C68" s="65">
        <f>+HLOOKUP('CALCULADORA TIS PESOS H-1'!$E$4,Tablas!$B$1:$B$181,Flujos!J68+1,FALSE)</f>
        <v>0.01016614</v>
      </c>
      <c r="D68" s="83">
        <f aca="true" t="shared" si="10" ref="D68:D131">IF(+ROUND(D67-E68,15)&lt;0.000009,0,ROUND(D67-E68,15))</f>
        <v>12.866544</v>
      </c>
      <c r="E68" s="66">
        <f aca="true" t="shared" si="11" ref="E68:E131">ROUND(C68*$D$2,6)</f>
        <v>1.016614</v>
      </c>
      <c r="F68" s="66">
        <f>ROUND(D67*ROUND(((1+'CALCULADORA TIS PESOS H-1'!$C$14)^(1/12)-1),6),6)</f>
        <v>0.100056</v>
      </c>
      <c r="G68" s="66">
        <f aca="true" t="shared" si="12" ref="G68:G131">F68+E68</f>
        <v>1.1166699999999998</v>
      </c>
      <c r="H68" s="67">
        <f>IF($B68=0,0,G68/POWER(1+'CALCULADORA TIS PESOS H-1'!$F$11,Flujos!$B68/365))</f>
        <v>0</v>
      </c>
      <c r="I68" s="68">
        <f t="shared" si="9"/>
        <v>44719</v>
      </c>
      <c r="J68" s="6">
        <v>66</v>
      </c>
      <c r="K68" s="69">
        <f aca="true" t="shared" si="13" ref="K68:K131">+DIAS365($A$2,A68)</f>
        <v>2007</v>
      </c>
      <c r="L68" s="73">
        <f aca="true" t="shared" si="14" ref="L68:L131">IF(+(L67-M68)&lt;0,0,(L67-M68))</f>
        <v>26453495038.347107</v>
      </c>
      <c r="M68" s="70">
        <f aca="true" t="shared" si="15" ref="M68:M131">+$L$2*C68</f>
        <v>2090148947.9159446</v>
      </c>
      <c r="N68" s="70">
        <f aca="true" t="shared" si="16" ref="N68:N131">+L67*$F$3%</f>
        <v>205714042.2089978</v>
      </c>
      <c r="O68" s="71">
        <f aca="true" t="shared" si="17" ref="O68:O131">+N68+M68</f>
        <v>2295862990.1249423</v>
      </c>
    </row>
    <row r="69" spans="1:15" s="27" customFormat="1" ht="12.75">
      <c r="A69" s="161">
        <v>44749</v>
      </c>
      <c r="B69" s="64">
        <f>IF(DIAS365('CALCULADORA TIS PESOS H-1'!$E$6,A69)&lt;0,0,DIAS365('CALCULADORA TIS PESOS H-1'!$E$6,A69))</f>
        <v>0</v>
      </c>
      <c r="C69" s="65">
        <f>+HLOOKUP('CALCULADORA TIS PESOS H-1'!$E$4,Tablas!$B$1:$B$181,Flujos!J69+1,FALSE)</f>
        <v>0.01165555</v>
      </c>
      <c r="D69" s="83">
        <f t="shared" si="10"/>
        <v>11.700989</v>
      </c>
      <c r="E69" s="66">
        <f t="shared" si="11"/>
        <v>1.165555</v>
      </c>
      <c r="F69" s="66">
        <f>ROUND(D68*ROUND(((1+'CALCULADORA TIS PESOS H-1'!$C$14)^(1/12)-1),6),6)</f>
        <v>0.092729</v>
      </c>
      <c r="G69" s="66">
        <f t="shared" si="12"/>
        <v>1.258284</v>
      </c>
      <c r="H69" s="67">
        <f>IF($B69=0,0,G69/POWER(1+'CALCULADORA TIS PESOS H-1'!$F$11,Flujos!$B69/365))</f>
        <v>0</v>
      </c>
      <c r="I69" s="68">
        <f t="shared" si="9"/>
        <v>44749</v>
      </c>
      <c r="J69" s="6">
        <v>67</v>
      </c>
      <c r="K69" s="69">
        <f t="shared" si="13"/>
        <v>2037</v>
      </c>
      <c r="L69" s="73">
        <f t="shared" si="14"/>
        <v>24057124776.882904</v>
      </c>
      <c r="M69" s="70">
        <f t="shared" si="15"/>
        <v>2396370261.464203</v>
      </c>
      <c r="N69" s="70">
        <f t="shared" si="16"/>
        <v>190650338.7413676</v>
      </c>
      <c r="O69" s="71">
        <f t="shared" si="17"/>
        <v>2587020600.2055707</v>
      </c>
    </row>
    <row r="70" spans="1:15" s="27" customFormat="1" ht="12.75">
      <c r="A70" s="161">
        <v>44780</v>
      </c>
      <c r="B70" s="64">
        <f>IF(DIAS365('CALCULADORA TIS PESOS H-1'!$E$6,A70)&lt;0,0,DIAS365('CALCULADORA TIS PESOS H-1'!$E$6,A70))</f>
        <v>0</v>
      </c>
      <c r="C70" s="65">
        <f>+HLOOKUP('CALCULADORA TIS PESOS H-1'!$E$4,Tablas!$B$1:$B$181,Flujos!J70+1,FALSE)</f>
        <v>0.01049908</v>
      </c>
      <c r="D70" s="83">
        <f t="shared" si="10"/>
        <v>10.651081</v>
      </c>
      <c r="E70" s="66">
        <f t="shared" si="11"/>
        <v>1.049908</v>
      </c>
      <c r="F70" s="66">
        <f>ROUND(D69*ROUND(((1+'CALCULADORA TIS PESOS H-1'!$C$14)^(1/12)-1),6),6)</f>
        <v>0.084329</v>
      </c>
      <c r="G70" s="66">
        <f t="shared" si="12"/>
        <v>1.1342370000000002</v>
      </c>
      <c r="H70" s="67">
        <f>IF($B70=0,0,G70/POWER(1+'CALCULADORA TIS PESOS H-1'!$F$11,Flujos!$B70/365))</f>
        <v>0</v>
      </c>
      <c r="I70" s="68">
        <f t="shared" si="9"/>
        <v>44780</v>
      </c>
      <c r="J70" s="6">
        <v>68</v>
      </c>
      <c r="K70" s="69">
        <f t="shared" si="13"/>
        <v>2068</v>
      </c>
      <c r="L70" s="73">
        <f t="shared" si="14"/>
        <v>21898523673.997704</v>
      </c>
      <c r="M70" s="70">
        <f t="shared" si="15"/>
        <v>2158601102.8851986</v>
      </c>
      <c r="N70" s="70">
        <f t="shared" si="16"/>
        <v>173379698.26699507</v>
      </c>
      <c r="O70" s="71">
        <f t="shared" si="17"/>
        <v>2331980801.1521935</v>
      </c>
    </row>
    <row r="71" spans="1:15" s="27" customFormat="1" ht="12.75">
      <c r="A71" s="161">
        <v>44811</v>
      </c>
      <c r="B71" s="64">
        <f>IF(DIAS365('CALCULADORA TIS PESOS H-1'!$E$6,A71)&lt;0,0,DIAS365('CALCULADORA TIS PESOS H-1'!$E$6,A71))</f>
        <v>0</v>
      </c>
      <c r="C71" s="65">
        <f>+HLOOKUP('CALCULADORA TIS PESOS H-1'!$E$4,Tablas!$B$1:$B$181,Flujos!J71+1,FALSE)</f>
        <v>0.00766851</v>
      </c>
      <c r="D71" s="83">
        <f t="shared" si="10"/>
        <v>9.88423</v>
      </c>
      <c r="E71" s="66">
        <f t="shared" si="11"/>
        <v>0.766851</v>
      </c>
      <c r="F71" s="66">
        <f>ROUND(D70*ROUND(((1+'CALCULADORA TIS PESOS H-1'!$C$14)^(1/12)-1),6),6)</f>
        <v>0.076762</v>
      </c>
      <c r="G71" s="66">
        <f t="shared" si="12"/>
        <v>0.843613</v>
      </c>
      <c r="H71" s="67">
        <f>IF($B71=0,0,G71/POWER(1+'CALCULADORA TIS PESOS H-1'!$F$11,Flujos!$B71/365))</f>
        <v>0</v>
      </c>
      <c r="I71" s="68">
        <f t="shared" si="9"/>
        <v>44811</v>
      </c>
      <c r="J71" s="6">
        <v>69</v>
      </c>
      <c r="K71" s="69">
        <f t="shared" si="13"/>
        <v>2099</v>
      </c>
      <c r="L71" s="73">
        <f t="shared" si="14"/>
        <v>20321885135.812817</v>
      </c>
      <c r="M71" s="70">
        <f t="shared" si="15"/>
        <v>1576638538.1848862</v>
      </c>
      <c r="N71" s="70">
        <f t="shared" si="16"/>
        <v>157822660.11850145</v>
      </c>
      <c r="O71" s="71">
        <f t="shared" si="17"/>
        <v>1734461198.3033876</v>
      </c>
    </row>
    <row r="72" spans="1:15" s="27" customFormat="1" ht="12.75">
      <c r="A72" s="161">
        <v>44841</v>
      </c>
      <c r="B72" s="64">
        <f>IF(DIAS365('CALCULADORA TIS PESOS H-1'!$E$6,A72)&lt;0,0,DIAS365('CALCULADORA TIS PESOS H-1'!$E$6,A72))</f>
        <v>0</v>
      </c>
      <c r="C72" s="65">
        <f>+HLOOKUP('CALCULADORA TIS PESOS H-1'!$E$4,Tablas!$B$1:$B$181,Flujos!J72+1,FALSE)</f>
        <v>0.01279089</v>
      </c>
      <c r="D72" s="83">
        <f t="shared" si="10"/>
        <v>8.605141</v>
      </c>
      <c r="E72" s="66">
        <f t="shared" si="11"/>
        <v>1.279089</v>
      </c>
      <c r="F72" s="66">
        <f>ROUND(D71*ROUND(((1+'CALCULADORA TIS PESOS H-1'!$C$14)^(1/12)-1),6),6)</f>
        <v>0.071236</v>
      </c>
      <c r="G72" s="66">
        <f t="shared" si="12"/>
        <v>1.350325</v>
      </c>
      <c r="H72" s="67">
        <f>IF($B72=0,0,G72/POWER(1+'CALCULADORA TIS PESOS H-1'!$F$11,Flujos!$B72/365))</f>
        <v>0</v>
      </c>
      <c r="I72" s="68">
        <f t="shared" si="9"/>
        <v>44841</v>
      </c>
      <c r="J72" s="6">
        <v>70</v>
      </c>
      <c r="K72" s="69">
        <f t="shared" si="13"/>
        <v>2129</v>
      </c>
      <c r="L72" s="73">
        <f t="shared" si="14"/>
        <v>17692090024.15701</v>
      </c>
      <c r="M72" s="70">
        <f t="shared" si="15"/>
        <v>2629795111.655808</v>
      </c>
      <c r="N72" s="70">
        <f t="shared" si="16"/>
        <v>146459826.17380297</v>
      </c>
      <c r="O72" s="71">
        <f t="shared" si="17"/>
        <v>2776254937.829611</v>
      </c>
    </row>
    <row r="73" spans="1:15" s="27" customFormat="1" ht="12.75">
      <c r="A73" s="161">
        <v>44872</v>
      </c>
      <c r="B73" s="64">
        <f>IF(DIAS365('CALCULADORA TIS PESOS H-1'!$E$6,A73)&lt;0,0,DIAS365('CALCULADORA TIS PESOS H-1'!$E$6,A73))</f>
        <v>0</v>
      </c>
      <c r="C73" s="65">
        <f>+HLOOKUP('CALCULADORA TIS PESOS H-1'!$E$4,Tablas!$B$1:$B$181,Flujos!J73+1,FALSE)</f>
        <v>0.00872364</v>
      </c>
      <c r="D73" s="83">
        <f t="shared" si="10"/>
        <v>7.732777</v>
      </c>
      <c r="E73" s="66">
        <f t="shared" si="11"/>
        <v>0.872364</v>
      </c>
      <c r="F73" s="66">
        <f>ROUND(D72*ROUND(((1+'CALCULADORA TIS PESOS H-1'!$C$14)^(1/12)-1),6),6)</f>
        <v>0.062017</v>
      </c>
      <c r="G73" s="66">
        <f t="shared" si="12"/>
        <v>0.934381</v>
      </c>
      <c r="H73" s="67">
        <f>IF($B73=0,0,G73/POWER(1+'CALCULADORA TIS PESOS H-1'!$F$11,Flujos!$B73/365))</f>
        <v>0</v>
      </c>
      <c r="I73" s="68">
        <f t="shared" si="9"/>
        <v>44872</v>
      </c>
      <c r="J73" s="6">
        <v>71</v>
      </c>
      <c r="K73" s="69">
        <f t="shared" si="13"/>
        <v>2160</v>
      </c>
      <c r="L73" s="73">
        <f t="shared" si="14"/>
        <v>15898517737.330599</v>
      </c>
      <c r="M73" s="70">
        <f t="shared" si="15"/>
        <v>1793572286.826411</v>
      </c>
      <c r="N73" s="70">
        <f t="shared" si="16"/>
        <v>127506892.80409956</v>
      </c>
      <c r="O73" s="71">
        <f t="shared" si="17"/>
        <v>1921079179.6305106</v>
      </c>
    </row>
    <row r="74" spans="1:15" s="27" customFormat="1" ht="12.75">
      <c r="A74" s="161">
        <v>44902</v>
      </c>
      <c r="B74" s="64">
        <f>IF(DIAS365('CALCULADORA TIS PESOS H-1'!$E$6,A74)&lt;0,0,DIAS365('CALCULADORA TIS PESOS H-1'!$E$6,A74))</f>
        <v>0</v>
      </c>
      <c r="C74" s="65">
        <f>+HLOOKUP('CALCULADORA TIS PESOS H-1'!$E$4,Tablas!$B$1:$B$181,Flujos!J74+1,FALSE)</f>
        <v>0.00938377</v>
      </c>
      <c r="D74" s="83">
        <f t="shared" si="10"/>
        <v>6.7944</v>
      </c>
      <c r="E74" s="66">
        <f t="shared" si="11"/>
        <v>0.938377</v>
      </c>
      <c r="F74" s="66">
        <f>ROUND(D73*ROUND(((1+'CALCULADORA TIS PESOS H-1'!$C$14)^(1/12)-1),6),6)</f>
        <v>0.05573</v>
      </c>
      <c r="G74" s="66">
        <f t="shared" si="12"/>
        <v>0.9941070000000001</v>
      </c>
      <c r="H74" s="67">
        <f>IF($B74=0,0,G74/POWER(1+'CALCULADORA TIS PESOS H-1'!$F$11,Flujos!$B74/365))</f>
        <v>0</v>
      </c>
      <c r="I74" s="68">
        <f t="shared" si="9"/>
        <v>44902</v>
      </c>
      <c r="J74" s="6">
        <v>72</v>
      </c>
      <c r="K74" s="69">
        <f t="shared" si="13"/>
        <v>2190</v>
      </c>
      <c r="L74" s="73">
        <f t="shared" si="14"/>
        <v>13969223335.228601</v>
      </c>
      <c r="M74" s="70">
        <f t="shared" si="15"/>
        <v>1929294402.1019976</v>
      </c>
      <c r="N74" s="70">
        <f t="shared" si="16"/>
        <v>114580617.33294162</v>
      </c>
      <c r="O74" s="71">
        <f t="shared" si="17"/>
        <v>2043875019.4349391</v>
      </c>
    </row>
    <row r="75" spans="1:15" s="27" customFormat="1" ht="12.75">
      <c r="A75" s="161">
        <v>44933</v>
      </c>
      <c r="B75" s="64">
        <f>IF(DIAS365('CALCULADORA TIS PESOS H-1'!$E$6,A75)&lt;0,0,DIAS365('CALCULADORA TIS PESOS H-1'!$E$6,A75))</f>
        <v>0</v>
      </c>
      <c r="C75" s="65">
        <f>+HLOOKUP('CALCULADORA TIS PESOS H-1'!$E$4,Tablas!$B$1:$B$181,Flujos!J75+1,FALSE)</f>
        <v>0.01163786</v>
      </c>
      <c r="D75" s="83">
        <f t="shared" si="10"/>
        <v>5.630614</v>
      </c>
      <c r="E75" s="66">
        <f t="shared" si="11"/>
        <v>1.163786</v>
      </c>
      <c r="F75" s="66">
        <f>ROUND(D74*ROUND(((1+'CALCULADORA TIS PESOS H-1'!$C$14)^(1/12)-1),6),6)</f>
        <v>0.048967</v>
      </c>
      <c r="G75" s="66">
        <f t="shared" si="12"/>
        <v>1.212753</v>
      </c>
      <c r="H75" s="67">
        <f>IF($B75=0,0,G75/POWER(1+'CALCULADORA TIS PESOS H-1'!$F$11,Flujos!$B75/365))</f>
        <v>0</v>
      </c>
      <c r="I75" s="68">
        <f t="shared" si="9"/>
        <v>44933</v>
      </c>
      <c r="J75" s="6">
        <v>73</v>
      </c>
      <c r="K75" s="69">
        <f t="shared" si="13"/>
        <v>2221</v>
      </c>
      <c r="L75" s="73">
        <f t="shared" si="14"/>
        <v>11576490121.344763</v>
      </c>
      <c r="M75" s="70">
        <f t="shared" si="15"/>
        <v>2392733213.883839</v>
      </c>
      <c r="N75" s="70">
        <f t="shared" si="16"/>
        <v>100676192.57699253</v>
      </c>
      <c r="O75" s="71">
        <f t="shared" si="17"/>
        <v>2493409406.4608316</v>
      </c>
    </row>
    <row r="76" spans="1:15" s="27" customFormat="1" ht="12.75">
      <c r="A76" s="161">
        <v>44964</v>
      </c>
      <c r="B76" s="64">
        <f>IF(DIAS365('CALCULADORA TIS PESOS H-1'!$E$6,A76)&lt;0,0,DIAS365('CALCULADORA TIS PESOS H-1'!$E$6,A76))</f>
        <v>0</v>
      </c>
      <c r="C76" s="65">
        <f>+HLOOKUP('CALCULADORA TIS PESOS H-1'!$E$4,Tablas!$B$1:$B$181,Flujos!J76+1,FALSE)</f>
        <v>0.00730675</v>
      </c>
      <c r="D76" s="83">
        <f t="shared" si="10"/>
        <v>4.899939</v>
      </c>
      <c r="E76" s="66">
        <f t="shared" si="11"/>
        <v>0.730675</v>
      </c>
      <c r="F76" s="66">
        <f>ROUND(D75*ROUND(((1+'CALCULADORA TIS PESOS H-1'!$C$14)^(1/12)-1),6),6)</f>
        <v>0.04058</v>
      </c>
      <c r="G76" s="66">
        <f t="shared" si="12"/>
        <v>0.7712549999999999</v>
      </c>
      <c r="H76" s="67">
        <f>IF($B76=0,0,G76/POWER(1+'CALCULADORA TIS PESOS H-1'!$F$11,Flujos!$B76/365))</f>
        <v>0</v>
      </c>
      <c r="I76" s="68">
        <f t="shared" si="9"/>
        <v>44964</v>
      </c>
      <c r="J76" s="6">
        <v>74</v>
      </c>
      <c r="K76" s="69">
        <f t="shared" si="13"/>
        <v>2252</v>
      </c>
      <c r="L76" s="73">
        <f t="shared" si="14"/>
        <v>10074229103.378767</v>
      </c>
      <c r="M76" s="70">
        <f t="shared" si="15"/>
        <v>1502261017.9659958</v>
      </c>
      <c r="N76" s="70">
        <f t="shared" si="16"/>
        <v>83431764.30453171</v>
      </c>
      <c r="O76" s="71">
        <f t="shared" si="17"/>
        <v>1585692782.2705276</v>
      </c>
    </row>
    <row r="77" spans="1:15" s="27" customFormat="1" ht="12.75">
      <c r="A77" s="161">
        <v>44992</v>
      </c>
      <c r="B77" s="64">
        <f>IF(DIAS365('CALCULADORA TIS PESOS H-1'!$E$6,A77)&lt;0,0,DIAS365('CALCULADORA TIS PESOS H-1'!$E$6,A77))</f>
        <v>0</v>
      </c>
      <c r="C77" s="65">
        <f>+HLOOKUP('CALCULADORA TIS PESOS H-1'!$E$4,Tablas!$B$1:$B$181,Flujos!J77+1,FALSE)</f>
        <v>0.00977638</v>
      </c>
      <c r="D77" s="83">
        <f t="shared" si="10"/>
        <v>3.922301</v>
      </c>
      <c r="E77" s="66">
        <f t="shared" si="11"/>
        <v>0.977638</v>
      </c>
      <c r="F77" s="66">
        <f>ROUND(D76*ROUND(((1+'CALCULADORA TIS PESOS H-1'!$C$14)^(1/12)-1),6),6)</f>
        <v>0.035314</v>
      </c>
      <c r="G77" s="66">
        <f t="shared" si="12"/>
        <v>1.012952</v>
      </c>
      <c r="H77" s="67">
        <f>IF($B77=0,0,G77/POWER(1+'CALCULADORA TIS PESOS H-1'!$F$11,Flujos!$B77/365))</f>
        <v>0</v>
      </c>
      <c r="I77" s="68">
        <f t="shared" si="9"/>
        <v>44992</v>
      </c>
      <c r="J77" s="6">
        <v>75</v>
      </c>
      <c r="K77" s="69">
        <f t="shared" si="13"/>
        <v>2280</v>
      </c>
      <c r="L77" s="73">
        <f t="shared" si="14"/>
        <v>8064214449.692463</v>
      </c>
      <c r="M77" s="70">
        <f t="shared" si="15"/>
        <v>2010014653.6863039</v>
      </c>
      <c r="N77" s="70">
        <f t="shared" si="16"/>
        <v>72604969.14805077</v>
      </c>
      <c r="O77" s="71">
        <f t="shared" si="17"/>
        <v>2082619622.8343546</v>
      </c>
    </row>
    <row r="78" spans="1:15" s="27" customFormat="1" ht="12.75">
      <c r="A78" s="161">
        <v>45023</v>
      </c>
      <c r="B78" s="64">
        <f>IF(DIAS365('CALCULADORA TIS PESOS H-1'!$E$6,A78)&lt;0,0,DIAS365('CALCULADORA TIS PESOS H-1'!$E$6,A78))</f>
        <v>0</v>
      </c>
      <c r="C78" s="65">
        <f>+HLOOKUP('CALCULADORA TIS PESOS H-1'!$E$4,Tablas!$B$1:$B$181,Flujos!J78+1,FALSE)</f>
        <v>0.00769482</v>
      </c>
      <c r="D78" s="83">
        <f t="shared" si="10"/>
        <v>3.152819</v>
      </c>
      <c r="E78" s="66">
        <f t="shared" si="11"/>
        <v>0.769482</v>
      </c>
      <c r="F78" s="66">
        <f>ROUND(D77*ROUND(((1+'CALCULADORA TIS PESOS H-1'!$C$14)^(1/12)-1),6),6)</f>
        <v>0.028268</v>
      </c>
      <c r="G78" s="66">
        <f t="shared" si="12"/>
        <v>0.79775</v>
      </c>
      <c r="H78" s="67">
        <f>IF($B78=0,0,G78/POWER(1+'CALCULADORA TIS PESOS H-1'!$F$11,Flujos!$B78/365))</f>
        <v>0</v>
      </c>
      <c r="I78" s="68">
        <f t="shared" si="9"/>
        <v>45023</v>
      </c>
      <c r="J78" s="6">
        <v>76</v>
      </c>
      <c r="K78" s="69">
        <f t="shared" si="13"/>
        <v>2311</v>
      </c>
      <c r="L78" s="73">
        <f t="shared" si="14"/>
        <v>6482166599.92819</v>
      </c>
      <c r="M78" s="70">
        <f t="shared" si="15"/>
        <v>1582047849.7642732</v>
      </c>
      <c r="N78" s="70">
        <f t="shared" si="16"/>
        <v>58118793.53893358</v>
      </c>
      <c r="O78" s="71">
        <f t="shared" si="17"/>
        <v>1640166643.3032067</v>
      </c>
    </row>
    <row r="79" spans="1:15" s="27" customFormat="1" ht="12.75">
      <c r="A79" s="161">
        <v>45053</v>
      </c>
      <c r="B79" s="64">
        <f>IF(DIAS365('CALCULADORA TIS PESOS H-1'!$E$6,A79)&lt;0,0,DIAS365('CALCULADORA TIS PESOS H-1'!$E$6,A79))</f>
        <v>0</v>
      </c>
      <c r="C79" s="65">
        <f>+HLOOKUP('CALCULADORA TIS PESOS H-1'!$E$4,Tablas!$B$1:$B$181,Flujos!J79+1,FALSE)</f>
        <v>0.00876814</v>
      </c>
      <c r="D79" s="83">
        <f t="shared" si="10"/>
        <v>2.276005</v>
      </c>
      <c r="E79" s="66">
        <f t="shared" si="11"/>
        <v>0.876814</v>
      </c>
      <c r="F79" s="66">
        <f>ROUND(D78*ROUND(((1+'CALCULADORA TIS PESOS H-1'!$C$14)^(1/12)-1),6),6)</f>
        <v>0.022722</v>
      </c>
      <c r="G79" s="66">
        <f t="shared" si="12"/>
        <v>0.899536</v>
      </c>
      <c r="H79" s="67">
        <f>IF($B79=0,0,G79/POWER(1+'CALCULADORA TIS PESOS H-1'!$F$11,Flujos!$B79/365))</f>
        <v>0</v>
      </c>
      <c r="I79" s="68">
        <f t="shared" si="9"/>
        <v>45053</v>
      </c>
      <c r="J79" s="6">
        <v>77</v>
      </c>
      <c r="K79" s="69">
        <f t="shared" si="13"/>
        <v>2341</v>
      </c>
      <c r="L79" s="73">
        <f t="shared" si="14"/>
        <v>4679445154.406122</v>
      </c>
      <c r="M79" s="70">
        <f t="shared" si="15"/>
        <v>1802721445.5220675</v>
      </c>
      <c r="N79" s="70">
        <f t="shared" si="16"/>
        <v>46716974.68568247</v>
      </c>
      <c r="O79" s="71">
        <f t="shared" si="17"/>
        <v>1849438420.20775</v>
      </c>
    </row>
    <row r="80" spans="1:15" s="27" customFormat="1" ht="12.75">
      <c r="A80" s="161">
        <v>45084</v>
      </c>
      <c r="B80" s="64">
        <f>IF(DIAS365('CALCULADORA TIS PESOS H-1'!$E$6,A80)&lt;0,0,DIAS365('CALCULADORA TIS PESOS H-1'!$E$6,A80))</f>
        <v>0</v>
      </c>
      <c r="C80" s="65">
        <f>+HLOOKUP('CALCULADORA TIS PESOS H-1'!$E$4,Tablas!$B$1:$B$181,Flujos!J80+1,FALSE)</f>
        <v>0.00861102</v>
      </c>
      <c r="D80" s="83">
        <f t="shared" si="10"/>
        <v>1.414903</v>
      </c>
      <c r="E80" s="66">
        <f t="shared" si="11"/>
        <v>0.861102</v>
      </c>
      <c r="F80" s="66">
        <f>ROUND(D79*ROUND(((1+'CALCULADORA TIS PESOS H-1'!$C$14)^(1/12)-1),6),6)</f>
        <v>0.016403</v>
      </c>
      <c r="G80" s="66">
        <f t="shared" si="12"/>
        <v>0.877505</v>
      </c>
      <c r="H80" s="67">
        <f>IF($B80=0,0,G80/POWER(1+'CALCULADORA TIS PESOS H-1'!$F$11,Flujos!$B80/365))</f>
        <v>0</v>
      </c>
      <c r="I80" s="68">
        <f t="shared" si="9"/>
        <v>45084</v>
      </c>
      <c r="J80" s="6">
        <v>78</v>
      </c>
      <c r="K80" s="69">
        <f t="shared" si="13"/>
        <v>2372</v>
      </c>
      <c r="L80" s="73">
        <f t="shared" si="14"/>
        <v>2909027435.047235</v>
      </c>
      <c r="M80" s="70">
        <f t="shared" si="15"/>
        <v>1770417719.3588872</v>
      </c>
      <c r="N80" s="70">
        <f t="shared" si="16"/>
        <v>33724761.22780492</v>
      </c>
      <c r="O80" s="71">
        <f t="shared" si="17"/>
        <v>1804142480.586692</v>
      </c>
    </row>
    <row r="81" spans="1:15" s="27" customFormat="1" ht="12.75">
      <c r="A81" s="161">
        <v>45114</v>
      </c>
      <c r="B81" s="64">
        <f>IF(DIAS365('CALCULADORA TIS PESOS H-1'!$E$6,A81)&lt;0,0,DIAS365('CALCULADORA TIS PESOS H-1'!$E$6,A81))</f>
        <v>0</v>
      </c>
      <c r="C81" s="65">
        <f>+HLOOKUP('CALCULADORA TIS PESOS H-1'!$E$4,Tablas!$B$1:$B$181,Flujos!J81+1,FALSE)</f>
        <v>0.00967742</v>
      </c>
      <c r="D81" s="83">
        <f t="shared" si="10"/>
        <v>0.447161</v>
      </c>
      <c r="E81" s="66">
        <f t="shared" si="11"/>
        <v>0.967742</v>
      </c>
      <c r="F81" s="66">
        <f>ROUND(D80*ROUND(((1+'CALCULADORA TIS PESOS H-1'!$C$14)^(1/12)-1),6),6)</f>
        <v>0.010197</v>
      </c>
      <c r="G81" s="66">
        <f t="shared" si="12"/>
        <v>0.977939</v>
      </c>
      <c r="H81" s="67">
        <f>IF($B81=0,0,G81/POWER(1+'CALCULADORA TIS PESOS H-1'!$F$11,Flujos!$B81/365))</f>
        <v>0</v>
      </c>
      <c r="I81" s="68">
        <f t="shared" si="9"/>
        <v>45114</v>
      </c>
      <c r="J81" s="6">
        <v>79</v>
      </c>
      <c r="K81" s="69">
        <f t="shared" si="13"/>
        <v>2402</v>
      </c>
      <c r="L81" s="73">
        <f t="shared" si="14"/>
        <v>919358865.5074961</v>
      </c>
      <c r="M81" s="70">
        <f t="shared" si="15"/>
        <v>1989668569.539739</v>
      </c>
      <c r="N81" s="70">
        <f t="shared" si="16"/>
        <v>20965360.72438542</v>
      </c>
      <c r="O81" s="71">
        <f t="shared" si="17"/>
        <v>2010633930.2641244</v>
      </c>
    </row>
    <row r="82" spans="1:15" s="187" customFormat="1" ht="12.75">
      <c r="A82" s="176">
        <v>45145</v>
      </c>
      <c r="B82" s="177">
        <f>IF(DIAS365('CALCULADORA TIS PESOS H-1'!$E$6,A82)&lt;0,0,DIAS365('CALCULADORA TIS PESOS H-1'!$E$6,A82))</f>
        <v>30</v>
      </c>
      <c r="C82" s="178">
        <f>+HLOOKUP('CALCULADORA TIS PESOS H-1'!$E$4,Tablas!$B$1:$B$181,Flujos!J82+1,FALSE)</f>
        <v>0.00447161</v>
      </c>
      <c r="D82" s="179">
        <f t="shared" si="10"/>
        <v>0</v>
      </c>
      <c r="E82" s="180">
        <f t="shared" si="11"/>
        <v>0.447161</v>
      </c>
      <c r="F82" s="180">
        <f>ROUND(D81*ROUND(((1+'CALCULADORA TIS PESOS H-1'!$C$14)^(1/12)-1),6),6)</f>
        <v>0.003223</v>
      </c>
      <c r="G82" s="180">
        <f t="shared" si="12"/>
        <v>0.45038399999999995</v>
      </c>
      <c r="H82" s="181">
        <f>IF($B82=0,0,G82/POWER(1+'CALCULADORA TIS PESOS H-1'!$F$11,Flujos!$B82/365))</f>
        <v>0.4472068432880468</v>
      </c>
      <c r="I82" s="182">
        <f t="shared" si="9"/>
        <v>45145</v>
      </c>
      <c r="J82" s="162">
        <v>80</v>
      </c>
      <c r="K82" s="183">
        <f t="shared" si="13"/>
        <v>2433</v>
      </c>
      <c r="L82" s="184">
        <f t="shared" si="14"/>
        <v>0</v>
      </c>
      <c r="M82" s="185">
        <f t="shared" si="15"/>
        <v>919358865.5075</v>
      </c>
      <c r="N82" s="185">
        <f t="shared" si="16"/>
        <v>6625819.3437125245</v>
      </c>
      <c r="O82" s="186">
        <f t="shared" si="17"/>
        <v>925984684.8512126</v>
      </c>
    </row>
    <row r="83" spans="1:15" ht="12.75">
      <c r="A83" s="78">
        <v>45176</v>
      </c>
      <c r="B83" s="35">
        <f>IF(DIAS365('CALCULADORA TIS PESOS H-1'!$E$6,A83)&lt;0,0,DIAS365('CALCULADORA TIS PESOS H-1'!$E$6,A83))</f>
        <v>61</v>
      </c>
      <c r="C83" s="36">
        <f>+HLOOKUP('CALCULADORA TIS PESOS H-1'!$E$4,Tablas!$B$1:$B$181,Flujos!J83+1,FALSE)</f>
        <v>0</v>
      </c>
      <c r="D83" s="83">
        <f t="shared" si="10"/>
        <v>0</v>
      </c>
      <c r="E83" s="37">
        <f t="shared" si="11"/>
        <v>0</v>
      </c>
      <c r="F83" s="37">
        <f>ROUND(D82*ROUND(((1+'CALCULADORA TIS PESOS H-1'!$C$14)^(1/12)-1),6),6)</f>
        <v>0</v>
      </c>
      <c r="G83" s="37">
        <f t="shared" si="12"/>
        <v>0</v>
      </c>
      <c r="H83" s="38">
        <f>IF($B83=0,0,G83/POWER(1+'CALCULADORA TIS PESOS H-1'!$F$11,Flujos!$B83/365))</f>
        <v>0</v>
      </c>
      <c r="I83" s="39">
        <f t="shared" si="9"/>
        <v>45176</v>
      </c>
      <c r="J83" s="40">
        <v>81</v>
      </c>
      <c r="K83" s="41">
        <f t="shared" si="13"/>
        <v>2464</v>
      </c>
      <c r="L83" s="42">
        <f t="shared" si="14"/>
        <v>0</v>
      </c>
      <c r="M83" s="43">
        <f t="shared" si="15"/>
        <v>0</v>
      </c>
      <c r="N83" s="43">
        <f t="shared" si="16"/>
        <v>0</v>
      </c>
      <c r="O83" s="44">
        <f t="shared" si="17"/>
        <v>0</v>
      </c>
    </row>
    <row r="84" spans="1:15" ht="12.75">
      <c r="A84" s="78">
        <v>45206</v>
      </c>
      <c r="B84" s="35">
        <f>IF(DIAS365('CALCULADORA TIS PESOS H-1'!$E$6,A84)&lt;0,0,DIAS365('CALCULADORA TIS PESOS H-1'!$E$6,A84))</f>
        <v>91</v>
      </c>
      <c r="C84" s="36">
        <f>+HLOOKUP('CALCULADORA TIS PESOS H-1'!$E$4,Tablas!$B$1:$B$181,Flujos!J84+1,FALSE)</f>
        <v>0</v>
      </c>
      <c r="D84" s="83">
        <f t="shared" si="10"/>
        <v>0</v>
      </c>
      <c r="E84" s="37">
        <f t="shared" si="11"/>
        <v>0</v>
      </c>
      <c r="F84" s="37">
        <f>ROUND(D83*ROUND(((1+'CALCULADORA TIS PESOS H-1'!$C$14)^(1/12)-1),6),6)</f>
        <v>0</v>
      </c>
      <c r="G84" s="37">
        <f t="shared" si="12"/>
        <v>0</v>
      </c>
      <c r="H84" s="38">
        <f>IF($B84=0,0,G84/POWER(1+'CALCULADORA TIS PESOS H-1'!$F$11,Flujos!$B84/365))</f>
        <v>0</v>
      </c>
      <c r="I84" s="39">
        <f t="shared" si="9"/>
        <v>45206</v>
      </c>
      <c r="J84" s="40">
        <v>82</v>
      </c>
      <c r="K84" s="41">
        <f t="shared" si="13"/>
        <v>2494</v>
      </c>
      <c r="L84" s="42">
        <f t="shared" si="14"/>
        <v>0</v>
      </c>
      <c r="M84" s="43">
        <f t="shared" si="15"/>
        <v>0</v>
      </c>
      <c r="N84" s="43">
        <f t="shared" si="16"/>
        <v>0</v>
      </c>
      <c r="O84" s="44">
        <f t="shared" si="17"/>
        <v>0</v>
      </c>
    </row>
    <row r="85" spans="1:15" ht="12.75">
      <c r="A85" s="78">
        <v>45237</v>
      </c>
      <c r="B85" s="35">
        <f>IF(DIAS365('CALCULADORA TIS PESOS H-1'!$E$6,A85)&lt;0,0,DIAS365('CALCULADORA TIS PESOS H-1'!$E$6,A85))</f>
        <v>122</v>
      </c>
      <c r="C85" s="36">
        <f>+HLOOKUP('CALCULADORA TIS PESOS H-1'!$E$4,Tablas!$B$1:$B$181,Flujos!J85+1,FALSE)</f>
        <v>0</v>
      </c>
      <c r="D85" s="83">
        <f t="shared" si="10"/>
        <v>0</v>
      </c>
      <c r="E85" s="37">
        <f t="shared" si="11"/>
        <v>0</v>
      </c>
      <c r="F85" s="37">
        <f>ROUND(D84*ROUND(((1+'CALCULADORA TIS PESOS H-1'!$C$14)^(1/12)-1),6),6)</f>
        <v>0</v>
      </c>
      <c r="G85" s="37">
        <f t="shared" si="12"/>
        <v>0</v>
      </c>
      <c r="H85" s="38">
        <f>IF($B85=0,0,G85/POWER(1+'CALCULADORA TIS PESOS H-1'!$F$11,Flujos!$B85/365))</f>
        <v>0</v>
      </c>
      <c r="I85" s="39">
        <f t="shared" si="9"/>
        <v>45237</v>
      </c>
      <c r="J85" s="40">
        <v>83</v>
      </c>
      <c r="K85" s="41">
        <f t="shared" si="13"/>
        <v>2525</v>
      </c>
      <c r="L85" s="42">
        <f t="shared" si="14"/>
        <v>0</v>
      </c>
      <c r="M85" s="43">
        <f t="shared" si="15"/>
        <v>0</v>
      </c>
      <c r="N85" s="43">
        <f t="shared" si="16"/>
        <v>0</v>
      </c>
      <c r="O85" s="44">
        <f t="shared" si="17"/>
        <v>0</v>
      </c>
    </row>
    <row r="86" spans="1:15" ht="12.75">
      <c r="A86" s="78">
        <v>45267</v>
      </c>
      <c r="B86" s="35">
        <f>IF(DIAS365('CALCULADORA TIS PESOS H-1'!$E$6,A86)&lt;0,0,DIAS365('CALCULADORA TIS PESOS H-1'!$E$6,A86))</f>
        <v>152</v>
      </c>
      <c r="C86" s="36">
        <f>+HLOOKUP('CALCULADORA TIS PESOS H-1'!$E$4,Tablas!$B$1:$B$181,Flujos!J86+1,FALSE)</f>
        <v>0</v>
      </c>
      <c r="D86" s="83">
        <f t="shared" si="10"/>
        <v>0</v>
      </c>
      <c r="E86" s="37">
        <f t="shared" si="11"/>
        <v>0</v>
      </c>
      <c r="F86" s="37">
        <f>ROUND(D85*ROUND(((1+'CALCULADORA TIS PESOS H-1'!$C$14)^(1/12)-1),6),6)</f>
        <v>0</v>
      </c>
      <c r="G86" s="37">
        <f t="shared" si="12"/>
        <v>0</v>
      </c>
      <c r="H86" s="38">
        <f>IF($B86=0,0,G86/POWER(1+'CALCULADORA TIS PESOS H-1'!$F$11,Flujos!$B86/365))</f>
        <v>0</v>
      </c>
      <c r="I86" s="39">
        <f t="shared" si="9"/>
        <v>45267</v>
      </c>
      <c r="J86" s="40">
        <v>84</v>
      </c>
      <c r="K86" s="41">
        <f t="shared" si="13"/>
        <v>2555</v>
      </c>
      <c r="L86" s="42">
        <f t="shared" si="14"/>
        <v>0</v>
      </c>
      <c r="M86" s="43">
        <f t="shared" si="15"/>
        <v>0</v>
      </c>
      <c r="N86" s="43">
        <f t="shared" si="16"/>
        <v>0</v>
      </c>
      <c r="O86" s="44">
        <f t="shared" si="17"/>
        <v>0</v>
      </c>
    </row>
    <row r="87" spans="1:15" ht="12.75">
      <c r="A87" s="78">
        <v>45298</v>
      </c>
      <c r="B87" s="35">
        <f>IF(DIAS365('CALCULADORA TIS PESOS H-1'!$E$6,A87)&lt;0,0,DIAS365('CALCULADORA TIS PESOS H-1'!$E$6,A87))</f>
        <v>183</v>
      </c>
      <c r="C87" s="36">
        <f>+HLOOKUP('CALCULADORA TIS PESOS H-1'!$E$4,Tablas!$B$1:$B$181,Flujos!J87+1,FALSE)</f>
        <v>0</v>
      </c>
      <c r="D87" s="83">
        <f t="shared" si="10"/>
        <v>0</v>
      </c>
      <c r="E87" s="37">
        <f t="shared" si="11"/>
        <v>0</v>
      </c>
      <c r="F87" s="37">
        <f>ROUND(D86*ROUND(((1+'CALCULADORA TIS PESOS H-1'!$C$14)^(1/12)-1),6),6)</f>
        <v>0</v>
      </c>
      <c r="G87" s="37">
        <f t="shared" si="12"/>
        <v>0</v>
      </c>
      <c r="H87" s="38">
        <f>IF($B87=0,0,G87/POWER(1+'CALCULADORA TIS PESOS H-1'!$F$11,Flujos!$B87/365))</f>
        <v>0</v>
      </c>
      <c r="I87" s="39">
        <f t="shared" si="9"/>
        <v>45298</v>
      </c>
      <c r="J87" s="40">
        <v>85</v>
      </c>
      <c r="K87" s="41">
        <f t="shared" si="13"/>
        <v>2586</v>
      </c>
      <c r="L87" s="42">
        <f t="shared" si="14"/>
        <v>0</v>
      </c>
      <c r="M87" s="43">
        <f t="shared" si="15"/>
        <v>0</v>
      </c>
      <c r="N87" s="43">
        <f t="shared" si="16"/>
        <v>0</v>
      </c>
      <c r="O87" s="44">
        <f t="shared" si="17"/>
        <v>0</v>
      </c>
    </row>
    <row r="88" spans="1:15" ht="12.75">
      <c r="A88" s="78">
        <v>45329</v>
      </c>
      <c r="B88" s="35">
        <f>IF(DIAS365('CALCULADORA TIS PESOS H-1'!$E$6,A88)&lt;0,0,DIAS365('CALCULADORA TIS PESOS H-1'!$E$6,A88))</f>
        <v>214</v>
      </c>
      <c r="C88" s="36">
        <f>+HLOOKUP('CALCULADORA TIS PESOS H-1'!$E$4,Tablas!$B$1:$B$181,Flujos!J88+1,FALSE)</f>
        <v>0</v>
      </c>
      <c r="D88" s="83">
        <f t="shared" si="10"/>
        <v>0</v>
      </c>
      <c r="E88" s="37">
        <f t="shared" si="11"/>
        <v>0</v>
      </c>
      <c r="F88" s="37">
        <f>ROUND(D87*ROUND(((1+'CALCULADORA TIS PESOS H-1'!$C$14)^(1/12)-1),6),6)</f>
        <v>0</v>
      </c>
      <c r="G88" s="37">
        <f t="shared" si="12"/>
        <v>0</v>
      </c>
      <c r="H88" s="38">
        <f>IF($B88=0,0,G88/POWER(1+'CALCULADORA TIS PESOS H-1'!$F$11,Flujos!$B88/365))</f>
        <v>0</v>
      </c>
      <c r="I88" s="39">
        <f t="shared" si="9"/>
        <v>45329</v>
      </c>
      <c r="J88" s="40">
        <v>86</v>
      </c>
      <c r="K88" s="41">
        <f t="shared" si="13"/>
        <v>2617</v>
      </c>
      <c r="L88" s="42">
        <f t="shared" si="14"/>
        <v>0</v>
      </c>
      <c r="M88" s="43">
        <f t="shared" si="15"/>
        <v>0</v>
      </c>
      <c r="N88" s="43">
        <f t="shared" si="16"/>
        <v>0</v>
      </c>
      <c r="O88" s="44">
        <f t="shared" si="17"/>
        <v>0</v>
      </c>
    </row>
    <row r="89" spans="1:15" ht="12.75">
      <c r="A89" s="78">
        <v>45358</v>
      </c>
      <c r="B89" s="35">
        <f>IF(DIAS365('CALCULADORA TIS PESOS H-1'!$E$6,A89)&lt;0,0,DIAS365('CALCULADORA TIS PESOS H-1'!$E$6,A89))</f>
        <v>242</v>
      </c>
      <c r="C89" s="36">
        <f>+HLOOKUP('CALCULADORA TIS PESOS H-1'!$E$4,Tablas!$B$1:$B$181,Flujos!J89+1,FALSE)</f>
        <v>0</v>
      </c>
      <c r="D89" s="83">
        <f t="shared" si="10"/>
        <v>0</v>
      </c>
      <c r="E89" s="37">
        <f t="shared" si="11"/>
        <v>0</v>
      </c>
      <c r="F89" s="37">
        <f>ROUND(D88*ROUND(((1+'CALCULADORA TIS PESOS H-1'!$C$14)^(1/12)-1),6),6)</f>
        <v>0</v>
      </c>
      <c r="G89" s="37">
        <f t="shared" si="12"/>
        <v>0</v>
      </c>
      <c r="H89" s="38">
        <f>IF($B89=0,0,G89/POWER(1+'CALCULADORA TIS PESOS H-1'!$F$11,Flujos!$B89/365))</f>
        <v>0</v>
      </c>
      <c r="I89" s="39">
        <f t="shared" si="9"/>
        <v>45358</v>
      </c>
      <c r="J89" s="40">
        <v>87</v>
      </c>
      <c r="K89" s="41">
        <f t="shared" si="13"/>
        <v>2645</v>
      </c>
      <c r="L89" s="42">
        <f t="shared" si="14"/>
        <v>0</v>
      </c>
      <c r="M89" s="43">
        <f t="shared" si="15"/>
        <v>0</v>
      </c>
      <c r="N89" s="43">
        <f t="shared" si="16"/>
        <v>0</v>
      </c>
      <c r="O89" s="44">
        <f t="shared" si="17"/>
        <v>0</v>
      </c>
    </row>
    <row r="90" spans="1:15" ht="12.75">
      <c r="A90" s="78">
        <v>45389</v>
      </c>
      <c r="B90" s="35">
        <f>IF(DIAS365('CALCULADORA TIS PESOS H-1'!$E$6,A90)&lt;0,0,DIAS365('CALCULADORA TIS PESOS H-1'!$E$6,A90))</f>
        <v>273</v>
      </c>
      <c r="C90" s="36">
        <f>+HLOOKUP('CALCULADORA TIS PESOS H-1'!$E$4,Tablas!$B$1:$B$181,Flujos!J90+1,FALSE)</f>
        <v>0</v>
      </c>
      <c r="D90" s="83">
        <f t="shared" si="10"/>
        <v>0</v>
      </c>
      <c r="E90" s="37">
        <f t="shared" si="11"/>
        <v>0</v>
      </c>
      <c r="F90" s="37">
        <f>ROUND(D89*ROUND(((1+'CALCULADORA TIS PESOS H-1'!$C$14)^(1/12)-1),6),6)</f>
        <v>0</v>
      </c>
      <c r="G90" s="37">
        <f t="shared" si="12"/>
        <v>0</v>
      </c>
      <c r="H90" s="38">
        <f>IF($B90=0,0,G90/POWER(1+'CALCULADORA TIS PESOS H-1'!$F$11,Flujos!$B90/365))</f>
        <v>0</v>
      </c>
      <c r="I90" s="39">
        <f t="shared" si="9"/>
        <v>45389</v>
      </c>
      <c r="J90" s="40">
        <v>88</v>
      </c>
      <c r="K90" s="41">
        <f t="shared" si="13"/>
        <v>2676</v>
      </c>
      <c r="L90" s="42">
        <f t="shared" si="14"/>
        <v>0</v>
      </c>
      <c r="M90" s="43">
        <f t="shared" si="15"/>
        <v>0</v>
      </c>
      <c r="N90" s="43">
        <f t="shared" si="16"/>
        <v>0</v>
      </c>
      <c r="O90" s="44">
        <f t="shared" si="17"/>
        <v>0</v>
      </c>
    </row>
    <row r="91" spans="1:15" ht="12.75">
      <c r="A91" s="78">
        <v>45419</v>
      </c>
      <c r="B91" s="35">
        <f>IF(DIAS365('CALCULADORA TIS PESOS H-1'!$E$6,A91)&lt;0,0,DIAS365('CALCULADORA TIS PESOS H-1'!$E$6,A91))</f>
        <v>303</v>
      </c>
      <c r="C91" s="36">
        <f>+HLOOKUP('CALCULADORA TIS PESOS H-1'!$E$4,Tablas!$B$1:$B$181,Flujos!J91+1,FALSE)</f>
        <v>0</v>
      </c>
      <c r="D91" s="83">
        <f t="shared" si="10"/>
        <v>0</v>
      </c>
      <c r="E91" s="37">
        <f t="shared" si="11"/>
        <v>0</v>
      </c>
      <c r="F91" s="37">
        <f>ROUND(D90*ROUND(((1+'CALCULADORA TIS PESOS H-1'!$C$14)^(1/12)-1),6),6)</f>
        <v>0</v>
      </c>
      <c r="G91" s="37">
        <f t="shared" si="12"/>
        <v>0</v>
      </c>
      <c r="H91" s="38">
        <f>IF($B91=0,0,G91/POWER(1+'CALCULADORA TIS PESOS H-1'!$F$11,Flujos!$B91/365))</f>
        <v>0</v>
      </c>
      <c r="I91" s="39">
        <f t="shared" si="9"/>
        <v>45419</v>
      </c>
      <c r="J91" s="40">
        <v>89</v>
      </c>
      <c r="K91" s="41">
        <f t="shared" si="13"/>
        <v>2706</v>
      </c>
      <c r="L91" s="42">
        <f t="shared" si="14"/>
        <v>0</v>
      </c>
      <c r="M91" s="43">
        <f t="shared" si="15"/>
        <v>0</v>
      </c>
      <c r="N91" s="43">
        <f t="shared" si="16"/>
        <v>0</v>
      </c>
      <c r="O91" s="44">
        <f t="shared" si="17"/>
        <v>0</v>
      </c>
    </row>
    <row r="92" spans="1:15" ht="12.75">
      <c r="A92" s="78">
        <v>45450</v>
      </c>
      <c r="B92" s="35">
        <f>IF(DIAS365('CALCULADORA TIS PESOS H-1'!$E$6,A92)&lt;0,0,DIAS365('CALCULADORA TIS PESOS H-1'!$E$6,A92))</f>
        <v>334</v>
      </c>
      <c r="C92" s="36">
        <f>+HLOOKUP('CALCULADORA TIS PESOS H-1'!$E$4,Tablas!$B$1:$B$181,Flujos!J92+1,FALSE)</f>
        <v>0</v>
      </c>
      <c r="D92" s="83">
        <f t="shared" si="10"/>
        <v>0</v>
      </c>
      <c r="E92" s="37">
        <f t="shared" si="11"/>
        <v>0</v>
      </c>
      <c r="F92" s="37">
        <f>ROUND(D91*ROUND(((1+'CALCULADORA TIS PESOS H-1'!$C$14)^(1/12)-1),6),6)</f>
        <v>0</v>
      </c>
      <c r="G92" s="37">
        <f t="shared" si="12"/>
        <v>0</v>
      </c>
      <c r="H92" s="38">
        <f>IF($B92=0,0,G92/POWER(1+'CALCULADORA TIS PESOS H-1'!$F$11,Flujos!$B92/365))</f>
        <v>0</v>
      </c>
      <c r="I92" s="39">
        <f t="shared" si="9"/>
        <v>45450</v>
      </c>
      <c r="J92" s="40">
        <v>90</v>
      </c>
      <c r="K92" s="41">
        <f t="shared" si="13"/>
        <v>2737</v>
      </c>
      <c r="L92" s="42">
        <f t="shared" si="14"/>
        <v>0</v>
      </c>
      <c r="M92" s="43">
        <f t="shared" si="15"/>
        <v>0</v>
      </c>
      <c r="N92" s="43">
        <f t="shared" si="16"/>
        <v>0</v>
      </c>
      <c r="O92" s="44">
        <f t="shared" si="17"/>
        <v>0</v>
      </c>
    </row>
    <row r="93" spans="1:15" ht="12.75">
      <c r="A93" s="78">
        <v>45480</v>
      </c>
      <c r="B93" s="35">
        <f>IF(DIAS365('CALCULADORA TIS PESOS H-1'!$E$6,A93)&lt;0,0,DIAS365('CALCULADORA TIS PESOS H-1'!$E$6,A93))</f>
        <v>364</v>
      </c>
      <c r="C93" s="36">
        <f>+HLOOKUP('CALCULADORA TIS PESOS H-1'!$E$4,Tablas!$B$1:$B$181,Flujos!J93+1,FALSE)</f>
        <v>0</v>
      </c>
      <c r="D93" s="83">
        <f t="shared" si="10"/>
        <v>0</v>
      </c>
      <c r="E93" s="37">
        <f t="shared" si="11"/>
        <v>0</v>
      </c>
      <c r="F93" s="37">
        <f>ROUND(D92*ROUND(((1+'CALCULADORA TIS PESOS H-1'!$C$14)^(1/12)-1),6),6)</f>
        <v>0</v>
      </c>
      <c r="G93" s="37">
        <f t="shared" si="12"/>
        <v>0</v>
      </c>
      <c r="H93" s="38">
        <f>IF($B93=0,0,G93/POWER(1+'CALCULADORA TIS PESOS H-1'!$F$11,Flujos!$B93/365))</f>
        <v>0</v>
      </c>
      <c r="I93" s="39">
        <f t="shared" si="9"/>
        <v>45480</v>
      </c>
      <c r="J93" s="40">
        <v>91</v>
      </c>
      <c r="K93" s="41">
        <f t="shared" si="13"/>
        <v>2767</v>
      </c>
      <c r="L93" s="42">
        <f t="shared" si="14"/>
        <v>0</v>
      </c>
      <c r="M93" s="43">
        <f t="shared" si="15"/>
        <v>0</v>
      </c>
      <c r="N93" s="43">
        <f t="shared" si="16"/>
        <v>0</v>
      </c>
      <c r="O93" s="44">
        <f t="shared" si="17"/>
        <v>0</v>
      </c>
    </row>
    <row r="94" spans="1:15" ht="12.75">
      <c r="A94" s="78">
        <v>45511</v>
      </c>
      <c r="B94" s="35">
        <f>IF(DIAS365('CALCULADORA TIS PESOS H-1'!$E$6,A94)&lt;0,0,DIAS365('CALCULADORA TIS PESOS H-1'!$E$6,A94))</f>
        <v>395</v>
      </c>
      <c r="C94" s="36">
        <f>+HLOOKUP('CALCULADORA TIS PESOS H-1'!$E$4,Tablas!$B$1:$B$181,Flujos!J94+1,FALSE)</f>
        <v>0</v>
      </c>
      <c r="D94" s="83">
        <f t="shared" si="10"/>
        <v>0</v>
      </c>
      <c r="E94" s="37">
        <f t="shared" si="11"/>
        <v>0</v>
      </c>
      <c r="F94" s="37">
        <f>ROUND(D93*ROUND(((1+'CALCULADORA TIS PESOS H-1'!$C$14)^(1/12)-1),6),6)</f>
        <v>0</v>
      </c>
      <c r="G94" s="37">
        <f t="shared" si="12"/>
        <v>0</v>
      </c>
      <c r="H94" s="38">
        <f>IF($B94=0,0,G94/POWER(1+'CALCULADORA TIS PESOS H-1'!$F$11,Flujos!$B94/365))</f>
        <v>0</v>
      </c>
      <c r="I94" s="39">
        <f t="shared" si="9"/>
        <v>45511</v>
      </c>
      <c r="J94" s="40">
        <v>92</v>
      </c>
      <c r="K94" s="41">
        <f t="shared" si="13"/>
        <v>2798</v>
      </c>
      <c r="L94" s="42">
        <f t="shared" si="14"/>
        <v>0</v>
      </c>
      <c r="M94" s="43">
        <f t="shared" si="15"/>
        <v>0</v>
      </c>
      <c r="N94" s="43">
        <f t="shared" si="16"/>
        <v>0</v>
      </c>
      <c r="O94" s="44">
        <f t="shared" si="17"/>
        <v>0</v>
      </c>
    </row>
    <row r="95" spans="1:15" ht="12.75">
      <c r="A95" s="78">
        <v>45542</v>
      </c>
      <c r="B95" s="35">
        <f>IF(DIAS365('CALCULADORA TIS PESOS H-1'!$E$6,A95)&lt;0,0,DIAS365('CALCULADORA TIS PESOS H-1'!$E$6,A95))</f>
        <v>426</v>
      </c>
      <c r="C95" s="36">
        <f>+HLOOKUP('CALCULADORA TIS PESOS H-1'!$E$4,Tablas!$B$1:$B$181,Flujos!J95+1,FALSE)</f>
        <v>0</v>
      </c>
      <c r="D95" s="83">
        <f t="shared" si="10"/>
        <v>0</v>
      </c>
      <c r="E95" s="37">
        <f t="shared" si="11"/>
        <v>0</v>
      </c>
      <c r="F95" s="37">
        <f>ROUND(D94*ROUND(((1+'CALCULADORA TIS PESOS H-1'!$C$14)^(1/12)-1),6),6)</f>
        <v>0</v>
      </c>
      <c r="G95" s="37">
        <f t="shared" si="12"/>
        <v>0</v>
      </c>
      <c r="H95" s="38">
        <f>IF($B95=0,0,G95/POWER(1+'CALCULADORA TIS PESOS H-1'!$F$11,Flujos!$B95/365))</f>
        <v>0</v>
      </c>
      <c r="I95" s="39">
        <f t="shared" si="9"/>
        <v>45542</v>
      </c>
      <c r="J95" s="40">
        <v>93</v>
      </c>
      <c r="K95" s="41">
        <f t="shared" si="13"/>
        <v>2829</v>
      </c>
      <c r="L95" s="42">
        <f t="shared" si="14"/>
        <v>0</v>
      </c>
      <c r="M95" s="43">
        <f t="shared" si="15"/>
        <v>0</v>
      </c>
      <c r="N95" s="43">
        <f t="shared" si="16"/>
        <v>0</v>
      </c>
      <c r="O95" s="44">
        <f t="shared" si="17"/>
        <v>0</v>
      </c>
    </row>
    <row r="96" spans="1:15" ht="12.75">
      <c r="A96" s="78">
        <v>45572</v>
      </c>
      <c r="B96" s="35">
        <f>IF(DIAS365('CALCULADORA TIS PESOS H-1'!$E$6,A96)&lt;0,0,DIAS365('CALCULADORA TIS PESOS H-1'!$E$6,A96))</f>
        <v>456</v>
      </c>
      <c r="C96" s="36">
        <f>+HLOOKUP('CALCULADORA TIS PESOS H-1'!$E$4,Tablas!$B$1:$B$181,Flujos!J96+1,FALSE)</f>
        <v>0</v>
      </c>
      <c r="D96" s="83">
        <f t="shared" si="10"/>
        <v>0</v>
      </c>
      <c r="E96" s="37">
        <f t="shared" si="11"/>
        <v>0</v>
      </c>
      <c r="F96" s="37">
        <f>ROUND(D95*ROUND(((1+'CALCULADORA TIS PESOS H-1'!$C$14)^(1/12)-1),6),6)</f>
        <v>0</v>
      </c>
      <c r="G96" s="37">
        <f t="shared" si="12"/>
        <v>0</v>
      </c>
      <c r="H96" s="38">
        <f>IF($B96=0,0,G96/POWER(1+'CALCULADORA TIS PESOS H-1'!$F$11,Flujos!$B96/365))</f>
        <v>0</v>
      </c>
      <c r="I96" s="39">
        <f t="shared" si="9"/>
        <v>45572</v>
      </c>
      <c r="J96" s="40">
        <v>94</v>
      </c>
      <c r="K96" s="41">
        <f t="shared" si="13"/>
        <v>2859</v>
      </c>
      <c r="L96" s="42">
        <f t="shared" si="14"/>
        <v>0</v>
      </c>
      <c r="M96" s="43">
        <f t="shared" si="15"/>
        <v>0</v>
      </c>
      <c r="N96" s="43">
        <f t="shared" si="16"/>
        <v>0</v>
      </c>
      <c r="O96" s="44">
        <f t="shared" si="17"/>
        <v>0</v>
      </c>
    </row>
    <row r="97" spans="1:15" ht="12.75">
      <c r="A97" s="78">
        <v>45603</v>
      </c>
      <c r="B97" s="35">
        <f>IF(DIAS365('CALCULADORA TIS PESOS H-1'!$E$6,A97)&lt;0,0,DIAS365('CALCULADORA TIS PESOS H-1'!$E$6,A97))</f>
        <v>487</v>
      </c>
      <c r="C97" s="36">
        <f>+HLOOKUP('CALCULADORA TIS PESOS H-1'!$E$4,Tablas!$B$1:$B$181,Flujos!J97+1,FALSE)</f>
        <v>0</v>
      </c>
      <c r="D97" s="83">
        <f t="shared" si="10"/>
        <v>0</v>
      </c>
      <c r="E97" s="37">
        <f t="shared" si="11"/>
        <v>0</v>
      </c>
      <c r="F97" s="37">
        <f>ROUND(D96*ROUND(((1+'CALCULADORA TIS PESOS H-1'!$C$14)^(1/12)-1),6),6)</f>
        <v>0</v>
      </c>
      <c r="G97" s="37">
        <f t="shared" si="12"/>
        <v>0</v>
      </c>
      <c r="H97" s="38">
        <f>IF($B97=0,0,G97/POWER(1+'CALCULADORA TIS PESOS H-1'!$F$11,Flujos!$B97/365))</f>
        <v>0</v>
      </c>
      <c r="I97" s="39">
        <f t="shared" si="9"/>
        <v>45603</v>
      </c>
      <c r="J97" s="40">
        <v>95</v>
      </c>
      <c r="K97" s="41">
        <f t="shared" si="13"/>
        <v>2890</v>
      </c>
      <c r="L97" s="42">
        <f t="shared" si="14"/>
        <v>0</v>
      </c>
      <c r="M97" s="43">
        <f t="shared" si="15"/>
        <v>0</v>
      </c>
      <c r="N97" s="43">
        <f t="shared" si="16"/>
        <v>0</v>
      </c>
      <c r="O97" s="44">
        <f t="shared" si="17"/>
        <v>0</v>
      </c>
    </row>
    <row r="98" spans="1:15" ht="12.75">
      <c r="A98" s="78">
        <v>45633</v>
      </c>
      <c r="B98" s="35">
        <f>IF(DIAS365('CALCULADORA TIS PESOS H-1'!$E$6,A98)&lt;0,0,DIAS365('CALCULADORA TIS PESOS H-1'!$E$6,A98))</f>
        <v>517</v>
      </c>
      <c r="C98" s="36">
        <f>+HLOOKUP('CALCULADORA TIS PESOS H-1'!$E$4,Tablas!$B$1:$B$181,Flujos!J98+1,FALSE)</f>
        <v>0</v>
      </c>
      <c r="D98" s="83">
        <f t="shared" si="10"/>
        <v>0</v>
      </c>
      <c r="E98" s="37">
        <f t="shared" si="11"/>
        <v>0</v>
      </c>
      <c r="F98" s="37">
        <f>ROUND(D97*ROUND(((1+'CALCULADORA TIS PESOS H-1'!$C$14)^(1/12)-1),6),6)</f>
        <v>0</v>
      </c>
      <c r="G98" s="37">
        <f t="shared" si="12"/>
        <v>0</v>
      </c>
      <c r="H98" s="38">
        <f>IF($B98=0,0,G98/POWER(1+'CALCULADORA TIS PESOS H-1'!$F$11,Flujos!$B98/365))</f>
        <v>0</v>
      </c>
      <c r="I98" s="39">
        <f t="shared" si="9"/>
        <v>45633</v>
      </c>
      <c r="J98" s="40">
        <v>96</v>
      </c>
      <c r="K98" s="41">
        <f t="shared" si="13"/>
        <v>2920</v>
      </c>
      <c r="L98" s="42">
        <f t="shared" si="14"/>
        <v>0</v>
      </c>
      <c r="M98" s="43">
        <f t="shared" si="15"/>
        <v>0</v>
      </c>
      <c r="N98" s="43">
        <f t="shared" si="16"/>
        <v>0</v>
      </c>
      <c r="O98" s="44">
        <f t="shared" si="17"/>
        <v>0</v>
      </c>
    </row>
    <row r="99" spans="1:15" ht="12.75">
      <c r="A99" s="78">
        <v>45664</v>
      </c>
      <c r="B99" s="35">
        <f>IF(DIAS365('CALCULADORA TIS PESOS H-1'!$E$6,A99)&lt;0,0,DIAS365('CALCULADORA TIS PESOS H-1'!$E$6,A99))</f>
        <v>548</v>
      </c>
      <c r="C99" s="36">
        <f>+HLOOKUP('CALCULADORA TIS PESOS H-1'!$E$4,Tablas!$B$1:$B$181,Flujos!J99+1,FALSE)</f>
        <v>0</v>
      </c>
      <c r="D99" s="83">
        <f t="shared" si="10"/>
        <v>0</v>
      </c>
      <c r="E99" s="37">
        <f t="shared" si="11"/>
        <v>0</v>
      </c>
      <c r="F99" s="37">
        <f>ROUND(D98*ROUND(((1+'CALCULADORA TIS PESOS H-1'!$C$14)^(1/12)-1),6),6)</f>
        <v>0</v>
      </c>
      <c r="G99" s="37">
        <f t="shared" si="12"/>
        <v>0</v>
      </c>
      <c r="H99" s="38">
        <f>IF($B99=0,0,G99/POWER(1+'CALCULADORA TIS PESOS H-1'!$F$11,Flujos!$B99/365))</f>
        <v>0</v>
      </c>
      <c r="I99" s="39">
        <f t="shared" si="9"/>
        <v>45664</v>
      </c>
      <c r="J99" s="40">
        <v>97</v>
      </c>
      <c r="K99" s="41">
        <f t="shared" si="13"/>
        <v>2951</v>
      </c>
      <c r="L99" s="42">
        <f t="shared" si="14"/>
        <v>0</v>
      </c>
      <c r="M99" s="43">
        <f t="shared" si="15"/>
        <v>0</v>
      </c>
      <c r="N99" s="43">
        <f t="shared" si="16"/>
        <v>0</v>
      </c>
      <c r="O99" s="44">
        <f t="shared" si="17"/>
        <v>0</v>
      </c>
    </row>
    <row r="100" spans="1:15" ht="12.75">
      <c r="A100" s="78">
        <v>45695</v>
      </c>
      <c r="B100" s="35">
        <f>IF(DIAS365('CALCULADORA TIS PESOS H-1'!$E$6,A100)&lt;0,0,DIAS365('CALCULADORA TIS PESOS H-1'!$E$6,A100))</f>
        <v>579</v>
      </c>
      <c r="C100" s="36">
        <f>+HLOOKUP('CALCULADORA TIS PESOS H-1'!$E$4,Tablas!$B$1:$B$181,Flujos!J100+1,FALSE)</f>
        <v>0</v>
      </c>
      <c r="D100" s="83">
        <f t="shared" si="10"/>
        <v>0</v>
      </c>
      <c r="E100" s="37">
        <f t="shared" si="11"/>
        <v>0</v>
      </c>
      <c r="F100" s="37">
        <f>ROUND(D99*ROUND(((1+'CALCULADORA TIS PESOS H-1'!$C$14)^(1/12)-1),6),6)</f>
        <v>0</v>
      </c>
      <c r="G100" s="37">
        <f t="shared" si="12"/>
        <v>0</v>
      </c>
      <c r="H100" s="38">
        <f>IF($B100=0,0,G100/POWER(1+'CALCULADORA TIS PESOS H-1'!$F$11,Flujos!$B100/365))</f>
        <v>0</v>
      </c>
      <c r="I100" s="39">
        <f t="shared" si="9"/>
        <v>45695</v>
      </c>
      <c r="J100" s="40">
        <v>98</v>
      </c>
      <c r="K100" s="41">
        <f t="shared" si="13"/>
        <v>2982</v>
      </c>
      <c r="L100" s="42">
        <f t="shared" si="14"/>
        <v>0</v>
      </c>
      <c r="M100" s="43">
        <f t="shared" si="15"/>
        <v>0</v>
      </c>
      <c r="N100" s="43">
        <f t="shared" si="16"/>
        <v>0</v>
      </c>
      <c r="O100" s="44">
        <f t="shared" si="17"/>
        <v>0</v>
      </c>
    </row>
    <row r="101" spans="1:15" ht="12.75">
      <c r="A101" s="78">
        <v>45723</v>
      </c>
      <c r="B101" s="35">
        <f>IF(DIAS365('CALCULADORA TIS PESOS H-1'!$E$6,A101)&lt;0,0,DIAS365('CALCULADORA TIS PESOS H-1'!$E$6,A101))</f>
        <v>607</v>
      </c>
      <c r="C101" s="36">
        <f>+HLOOKUP('CALCULADORA TIS PESOS H-1'!$E$4,Tablas!$B$1:$B$181,Flujos!J101+1,FALSE)</f>
        <v>0</v>
      </c>
      <c r="D101" s="83">
        <f t="shared" si="10"/>
        <v>0</v>
      </c>
      <c r="E101" s="37">
        <f t="shared" si="11"/>
        <v>0</v>
      </c>
      <c r="F101" s="37">
        <f>ROUND(D100*ROUND(((1+'CALCULADORA TIS PESOS H-1'!$C$14)^(1/12)-1),6),6)</f>
        <v>0</v>
      </c>
      <c r="G101" s="37">
        <f t="shared" si="12"/>
        <v>0</v>
      </c>
      <c r="H101" s="38">
        <f>IF($B101=0,0,G101/POWER(1+'CALCULADORA TIS PESOS H-1'!$F$11,Flujos!$B101/365))</f>
        <v>0</v>
      </c>
      <c r="I101" s="39">
        <f t="shared" si="9"/>
        <v>45723</v>
      </c>
      <c r="J101" s="40">
        <v>99</v>
      </c>
      <c r="K101" s="41">
        <f t="shared" si="13"/>
        <v>3010</v>
      </c>
      <c r="L101" s="42">
        <f t="shared" si="14"/>
        <v>0</v>
      </c>
      <c r="M101" s="43">
        <f t="shared" si="15"/>
        <v>0</v>
      </c>
      <c r="N101" s="43">
        <f t="shared" si="16"/>
        <v>0</v>
      </c>
      <c r="O101" s="44">
        <f t="shared" si="17"/>
        <v>0</v>
      </c>
    </row>
    <row r="102" spans="1:15" ht="12.75">
      <c r="A102" s="78">
        <v>45754</v>
      </c>
      <c r="B102" s="35">
        <f>IF(DIAS365('CALCULADORA TIS PESOS H-1'!$E$6,A102)&lt;0,0,DIAS365('CALCULADORA TIS PESOS H-1'!$E$6,A102))</f>
        <v>638</v>
      </c>
      <c r="C102" s="36">
        <f>+HLOOKUP('CALCULADORA TIS PESOS H-1'!$E$4,Tablas!$B$1:$B$181,Flujos!J102+1,FALSE)</f>
        <v>0</v>
      </c>
      <c r="D102" s="83">
        <f t="shared" si="10"/>
        <v>0</v>
      </c>
      <c r="E102" s="37">
        <f t="shared" si="11"/>
        <v>0</v>
      </c>
      <c r="F102" s="37">
        <f>ROUND(D101*ROUND(((1+'CALCULADORA TIS PESOS H-1'!$C$14)^(1/12)-1),6),6)</f>
        <v>0</v>
      </c>
      <c r="G102" s="37">
        <f t="shared" si="12"/>
        <v>0</v>
      </c>
      <c r="H102" s="38">
        <f>IF($B102=0,0,G102/POWER(1+'CALCULADORA TIS PESOS H-1'!$F$11,Flujos!$B102/365))</f>
        <v>0</v>
      </c>
      <c r="I102" s="39">
        <f t="shared" si="9"/>
        <v>45754</v>
      </c>
      <c r="J102" s="40">
        <v>100</v>
      </c>
      <c r="K102" s="41">
        <f t="shared" si="13"/>
        <v>3041</v>
      </c>
      <c r="L102" s="42">
        <f t="shared" si="14"/>
        <v>0</v>
      </c>
      <c r="M102" s="43">
        <f t="shared" si="15"/>
        <v>0</v>
      </c>
      <c r="N102" s="43">
        <f t="shared" si="16"/>
        <v>0</v>
      </c>
      <c r="O102" s="44">
        <f t="shared" si="17"/>
        <v>0</v>
      </c>
    </row>
    <row r="103" spans="1:15" ht="12.75">
      <c r="A103" s="78">
        <v>45784</v>
      </c>
      <c r="B103" s="35">
        <f>IF(DIAS365('CALCULADORA TIS PESOS H-1'!$E$6,A103)&lt;0,0,DIAS365('CALCULADORA TIS PESOS H-1'!$E$6,A103))</f>
        <v>668</v>
      </c>
      <c r="C103" s="36">
        <f>+HLOOKUP('CALCULADORA TIS PESOS H-1'!$E$4,Tablas!$B$1:$B$181,Flujos!J103+1,FALSE)</f>
        <v>0</v>
      </c>
      <c r="D103" s="83">
        <f t="shared" si="10"/>
        <v>0</v>
      </c>
      <c r="E103" s="37">
        <f t="shared" si="11"/>
        <v>0</v>
      </c>
      <c r="F103" s="37">
        <f>ROUND(D102*ROUND(((1+'CALCULADORA TIS PESOS H-1'!$C$14)^(1/12)-1),6),6)</f>
        <v>0</v>
      </c>
      <c r="G103" s="37">
        <f t="shared" si="12"/>
        <v>0</v>
      </c>
      <c r="H103" s="38">
        <f>IF($B103=0,0,G103/POWER(1+'CALCULADORA TIS PESOS H-1'!$F$11,Flujos!$B103/365))</f>
        <v>0</v>
      </c>
      <c r="I103" s="39">
        <f t="shared" si="9"/>
        <v>45784</v>
      </c>
      <c r="J103" s="40">
        <v>101</v>
      </c>
      <c r="K103" s="41">
        <f t="shared" si="13"/>
        <v>3071</v>
      </c>
      <c r="L103" s="42">
        <f t="shared" si="14"/>
        <v>0</v>
      </c>
      <c r="M103" s="43">
        <f t="shared" si="15"/>
        <v>0</v>
      </c>
      <c r="N103" s="43">
        <f t="shared" si="16"/>
        <v>0</v>
      </c>
      <c r="O103" s="44">
        <f t="shared" si="17"/>
        <v>0</v>
      </c>
    </row>
    <row r="104" spans="1:15" ht="12.75">
      <c r="A104" s="78">
        <v>45815</v>
      </c>
      <c r="B104" s="35">
        <f>IF(DIAS365('CALCULADORA TIS PESOS H-1'!$E$6,A104)&lt;0,0,DIAS365('CALCULADORA TIS PESOS H-1'!$E$6,A104))</f>
        <v>699</v>
      </c>
      <c r="C104" s="36">
        <f>+HLOOKUP('CALCULADORA TIS PESOS H-1'!$E$4,Tablas!$B$1:$B$181,Flujos!J104+1,FALSE)</f>
        <v>0</v>
      </c>
      <c r="D104" s="83">
        <f t="shared" si="10"/>
        <v>0</v>
      </c>
      <c r="E104" s="37">
        <f t="shared" si="11"/>
        <v>0</v>
      </c>
      <c r="F104" s="37">
        <f>ROUND(D103*ROUND(((1+'CALCULADORA TIS PESOS H-1'!$C$14)^(1/12)-1),6),6)</f>
        <v>0</v>
      </c>
      <c r="G104" s="37">
        <f t="shared" si="12"/>
        <v>0</v>
      </c>
      <c r="H104" s="38">
        <f>IF($B104=0,0,G104/POWER(1+'CALCULADORA TIS PESOS H-1'!$F$11,Flujos!$B104/365))</f>
        <v>0</v>
      </c>
      <c r="I104" s="39">
        <f t="shared" si="9"/>
        <v>45815</v>
      </c>
      <c r="J104" s="40">
        <v>102</v>
      </c>
      <c r="K104" s="41">
        <f t="shared" si="13"/>
        <v>3102</v>
      </c>
      <c r="L104" s="42">
        <f t="shared" si="14"/>
        <v>0</v>
      </c>
      <c r="M104" s="43">
        <f t="shared" si="15"/>
        <v>0</v>
      </c>
      <c r="N104" s="43">
        <f t="shared" si="16"/>
        <v>0</v>
      </c>
      <c r="O104" s="44">
        <f t="shared" si="17"/>
        <v>0</v>
      </c>
    </row>
    <row r="105" spans="1:15" ht="12.75">
      <c r="A105" s="78">
        <v>45845</v>
      </c>
      <c r="B105" s="35">
        <f>IF(DIAS365('CALCULADORA TIS PESOS H-1'!$E$6,A105)&lt;0,0,DIAS365('CALCULADORA TIS PESOS H-1'!$E$6,A105))</f>
        <v>729</v>
      </c>
      <c r="C105" s="36">
        <f>+HLOOKUP('CALCULADORA TIS PESOS H-1'!$E$4,Tablas!$B$1:$B$181,Flujos!J105+1,FALSE)</f>
        <v>0</v>
      </c>
      <c r="D105" s="83">
        <f t="shared" si="10"/>
        <v>0</v>
      </c>
      <c r="E105" s="37">
        <f t="shared" si="11"/>
        <v>0</v>
      </c>
      <c r="F105" s="37">
        <f>ROUND(D104*ROUND(((1+'CALCULADORA TIS PESOS H-1'!$C$14)^(1/12)-1),6),6)</f>
        <v>0</v>
      </c>
      <c r="G105" s="37">
        <f t="shared" si="12"/>
        <v>0</v>
      </c>
      <c r="H105" s="38">
        <f>IF($B105=0,0,G105/POWER(1+'CALCULADORA TIS PESOS H-1'!$F$11,Flujos!$B105/365))</f>
        <v>0</v>
      </c>
      <c r="I105" s="39">
        <f t="shared" si="9"/>
        <v>45845</v>
      </c>
      <c r="J105" s="40">
        <v>103</v>
      </c>
      <c r="K105" s="41">
        <f t="shared" si="13"/>
        <v>3132</v>
      </c>
      <c r="L105" s="42">
        <f t="shared" si="14"/>
        <v>0</v>
      </c>
      <c r="M105" s="43">
        <f t="shared" si="15"/>
        <v>0</v>
      </c>
      <c r="N105" s="43">
        <f t="shared" si="16"/>
        <v>0</v>
      </c>
      <c r="O105" s="44">
        <f t="shared" si="17"/>
        <v>0</v>
      </c>
    </row>
    <row r="106" spans="1:15" ht="12.75">
      <c r="A106" s="78">
        <v>45876</v>
      </c>
      <c r="B106" s="35">
        <f>IF(DIAS365('CALCULADORA TIS PESOS H-1'!$E$6,A106)&lt;0,0,DIAS365('CALCULADORA TIS PESOS H-1'!$E$6,A106))</f>
        <v>760</v>
      </c>
      <c r="C106" s="36">
        <f>+HLOOKUP('CALCULADORA TIS PESOS H-1'!$E$4,Tablas!$B$1:$B$181,Flujos!J106+1,FALSE)</f>
        <v>0</v>
      </c>
      <c r="D106" s="83">
        <f t="shared" si="10"/>
        <v>0</v>
      </c>
      <c r="E106" s="37">
        <f t="shared" si="11"/>
        <v>0</v>
      </c>
      <c r="F106" s="37">
        <f>ROUND(D105*ROUND(((1+'CALCULADORA TIS PESOS H-1'!$C$14)^(1/12)-1),6),6)</f>
        <v>0</v>
      </c>
      <c r="G106" s="37">
        <f t="shared" si="12"/>
        <v>0</v>
      </c>
      <c r="H106" s="38">
        <f>IF($B106=0,0,G106/POWER(1+'CALCULADORA TIS PESOS H-1'!$F$11,Flujos!$B106/365))</f>
        <v>0</v>
      </c>
      <c r="I106" s="39">
        <f t="shared" si="9"/>
        <v>45876</v>
      </c>
      <c r="J106" s="40">
        <v>104</v>
      </c>
      <c r="K106" s="41">
        <f t="shared" si="13"/>
        <v>3163</v>
      </c>
      <c r="L106" s="42">
        <f t="shared" si="14"/>
        <v>0</v>
      </c>
      <c r="M106" s="43">
        <f t="shared" si="15"/>
        <v>0</v>
      </c>
      <c r="N106" s="43">
        <f t="shared" si="16"/>
        <v>0</v>
      </c>
      <c r="O106" s="44">
        <f t="shared" si="17"/>
        <v>0</v>
      </c>
    </row>
    <row r="107" spans="1:15" ht="12.75">
      <c r="A107" s="78">
        <v>45907</v>
      </c>
      <c r="B107" s="35">
        <f>IF(DIAS365('CALCULADORA TIS PESOS H-1'!$E$6,A107)&lt;0,0,DIAS365('CALCULADORA TIS PESOS H-1'!$E$6,A107))</f>
        <v>791</v>
      </c>
      <c r="C107" s="36">
        <f>+HLOOKUP('CALCULADORA TIS PESOS H-1'!$E$4,Tablas!$B$1:$B$181,Flujos!J107+1,FALSE)</f>
        <v>0</v>
      </c>
      <c r="D107" s="83">
        <f t="shared" si="10"/>
        <v>0</v>
      </c>
      <c r="E107" s="37">
        <f t="shared" si="11"/>
        <v>0</v>
      </c>
      <c r="F107" s="37">
        <f>ROUND(D106*ROUND(((1+'CALCULADORA TIS PESOS H-1'!$C$14)^(1/12)-1),6),6)</f>
        <v>0</v>
      </c>
      <c r="G107" s="37">
        <f t="shared" si="12"/>
        <v>0</v>
      </c>
      <c r="H107" s="38">
        <f>IF($B107=0,0,G107/POWER(1+'CALCULADORA TIS PESOS H-1'!$F$11,Flujos!$B107/365))</f>
        <v>0</v>
      </c>
      <c r="I107" s="39">
        <f t="shared" si="9"/>
        <v>45907</v>
      </c>
      <c r="J107" s="40">
        <v>105</v>
      </c>
      <c r="K107" s="41">
        <f t="shared" si="13"/>
        <v>3194</v>
      </c>
      <c r="L107" s="42">
        <f t="shared" si="14"/>
        <v>0</v>
      </c>
      <c r="M107" s="43">
        <f t="shared" si="15"/>
        <v>0</v>
      </c>
      <c r="N107" s="43">
        <f t="shared" si="16"/>
        <v>0</v>
      </c>
      <c r="O107" s="44">
        <f t="shared" si="17"/>
        <v>0</v>
      </c>
    </row>
    <row r="108" spans="1:15" ht="12.75">
      <c r="A108" s="78">
        <v>45937</v>
      </c>
      <c r="B108" s="35">
        <f>IF(DIAS365('CALCULADORA TIS PESOS H-1'!$E$6,A108)&lt;0,0,DIAS365('CALCULADORA TIS PESOS H-1'!$E$6,A108))</f>
        <v>821</v>
      </c>
      <c r="C108" s="36">
        <f>+HLOOKUP('CALCULADORA TIS PESOS H-1'!$E$4,Tablas!$B$1:$B$181,Flujos!J108+1,FALSE)</f>
        <v>0</v>
      </c>
      <c r="D108" s="83">
        <f t="shared" si="10"/>
        <v>0</v>
      </c>
      <c r="E108" s="37">
        <f t="shared" si="11"/>
        <v>0</v>
      </c>
      <c r="F108" s="37">
        <f>ROUND(D107*ROUND(((1+'CALCULADORA TIS PESOS H-1'!$C$14)^(1/12)-1),6),6)</f>
        <v>0</v>
      </c>
      <c r="G108" s="37">
        <f t="shared" si="12"/>
        <v>0</v>
      </c>
      <c r="H108" s="38">
        <f>IF($B108=0,0,G108/POWER(1+'CALCULADORA TIS PESOS H-1'!$F$11,Flujos!$B108/365))</f>
        <v>0</v>
      </c>
      <c r="I108" s="39">
        <f t="shared" si="9"/>
        <v>45937</v>
      </c>
      <c r="J108" s="40">
        <v>106</v>
      </c>
      <c r="K108" s="41">
        <f t="shared" si="13"/>
        <v>3224</v>
      </c>
      <c r="L108" s="42">
        <f t="shared" si="14"/>
        <v>0</v>
      </c>
      <c r="M108" s="43">
        <f t="shared" si="15"/>
        <v>0</v>
      </c>
      <c r="N108" s="43">
        <f t="shared" si="16"/>
        <v>0</v>
      </c>
      <c r="O108" s="44">
        <f t="shared" si="17"/>
        <v>0</v>
      </c>
    </row>
    <row r="109" spans="1:15" ht="12.75">
      <c r="A109" s="78">
        <v>45968</v>
      </c>
      <c r="B109" s="35">
        <f>IF(DIAS365('CALCULADORA TIS PESOS H-1'!$E$6,A109)&lt;0,0,DIAS365('CALCULADORA TIS PESOS H-1'!$E$6,A109))</f>
        <v>852</v>
      </c>
      <c r="C109" s="36">
        <f>+HLOOKUP('CALCULADORA TIS PESOS H-1'!$E$4,Tablas!$B$1:$B$181,Flujos!J109+1,FALSE)</f>
        <v>0</v>
      </c>
      <c r="D109" s="83">
        <f t="shared" si="10"/>
        <v>0</v>
      </c>
      <c r="E109" s="37">
        <f t="shared" si="11"/>
        <v>0</v>
      </c>
      <c r="F109" s="37">
        <f>ROUND(D108*ROUND(((1+'CALCULADORA TIS PESOS H-1'!$C$14)^(1/12)-1),6),6)</f>
        <v>0</v>
      </c>
      <c r="G109" s="37">
        <f t="shared" si="12"/>
        <v>0</v>
      </c>
      <c r="H109" s="38">
        <f>IF($B109=0,0,G109/POWER(1+'CALCULADORA TIS PESOS H-1'!$F$11,Flujos!$B109/365))</f>
        <v>0</v>
      </c>
      <c r="I109" s="39">
        <f t="shared" si="9"/>
        <v>45968</v>
      </c>
      <c r="J109" s="40">
        <v>107</v>
      </c>
      <c r="K109" s="41">
        <f t="shared" si="13"/>
        <v>3255</v>
      </c>
      <c r="L109" s="42">
        <f t="shared" si="14"/>
        <v>0</v>
      </c>
      <c r="M109" s="43">
        <f t="shared" si="15"/>
        <v>0</v>
      </c>
      <c r="N109" s="43">
        <f t="shared" si="16"/>
        <v>0</v>
      </c>
      <c r="O109" s="44">
        <f t="shared" si="17"/>
        <v>0</v>
      </c>
    </row>
    <row r="110" spans="1:15" ht="12.75">
      <c r="A110" s="78">
        <v>45998</v>
      </c>
      <c r="B110" s="35">
        <f>IF(DIAS365('CALCULADORA TIS PESOS H-1'!$E$6,A110)&lt;0,0,DIAS365('CALCULADORA TIS PESOS H-1'!$E$6,A110))</f>
        <v>882</v>
      </c>
      <c r="C110" s="36">
        <f>+HLOOKUP('CALCULADORA TIS PESOS H-1'!$E$4,Tablas!$B$1:$B$181,Flujos!J110+1,FALSE)</f>
        <v>0</v>
      </c>
      <c r="D110" s="83">
        <f t="shared" si="10"/>
        <v>0</v>
      </c>
      <c r="E110" s="37">
        <f t="shared" si="11"/>
        <v>0</v>
      </c>
      <c r="F110" s="37">
        <f>ROUND(D109*ROUND(((1+'CALCULADORA TIS PESOS H-1'!$C$14)^(1/12)-1),6),6)</f>
        <v>0</v>
      </c>
      <c r="G110" s="37">
        <f t="shared" si="12"/>
        <v>0</v>
      </c>
      <c r="H110" s="38">
        <f>IF($B110=0,0,G110/POWER(1+'CALCULADORA TIS PESOS H-1'!$F$11,Flujos!$B110/365))</f>
        <v>0</v>
      </c>
      <c r="I110" s="39">
        <f t="shared" si="9"/>
        <v>45998</v>
      </c>
      <c r="J110" s="40">
        <v>108</v>
      </c>
      <c r="K110" s="41">
        <f t="shared" si="13"/>
        <v>3285</v>
      </c>
      <c r="L110" s="42">
        <f t="shared" si="14"/>
        <v>0</v>
      </c>
      <c r="M110" s="43">
        <f t="shared" si="15"/>
        <v>0</v>
      </c>
      <c r="N110" s="43">
        <f t="shared" si="16"/>
        <v>0</v>
      </c>
      <c r="O110" s="44">
        <f t="shared" si="17"/>
        <v>0</v>
      </c>
    </row>
    <row r="111" spans="1:15" ht="12.75">
      <c r="A111" s="78">
        <v>46029</v>
      </c>
      <c r="B111" s="35">
        <f>IF(DIAS365('CALCULADORA TIS PESOS H-1'!$E$6,A111)&lt;0,0,DIAS365('CALCULADORA TIS PESOS H-1'!$E$6,A111))</f>
        <v>913</v>
      </c>
      <c r="C111" s="36">
        <f>+HLOOKUP('CALCULADORA TIS PESOS H-1'!$E$4,Tablas!$B$1:$B$181,Flujos!J111+1,FALSE)</f>
        <v>0</v>
      </c>
      <c r="D111" s="83">
        <f t="shared" si="10"/>
        <v>0</v>
      </c>
      <c r="E111" s="37">
        <f t="shared" si="11"/>
        <v>0</v>
      </c>
      <c r="F111" s="37">
        <f>ROUND(D110*ROUND(((1+'CALCULADORA TIS PESOS H-1'!$C$14)^(1/12)-1),6),6)</f>
        <v>0</v>
      </c>
      <c r="G111" s="37">
        <f t="shared" si="12"/>
        <v>0</v>
      </c>
      <c r="H111" s="38">
        <f>IF($B111=0,0,G111/POWER(1+'CALCULADORA TIS PESOS H-1'!$F$11,Flujos!$B111/365))</f>
        <v>0</v>
      </c>
      <c r="I111" s="39">
        <f t="shared" si="9"/>
        <v>46029</v>
      </c>
      <c r="J111" s="40">
        <v>109</v>
      </c>
      <c r="K111" s="41">
        <f t="shared" si="13"/>
        <v>3316</v>
      </c>
      <c r="L111" s="42">
        <f t="shared" si="14"/>
        <v>0</v>
      </c>
      <c r="M111" s="43">
        <f t="shared" si="15"/>
        <v>0</v>
      </c>
      <c r="N111" s="43">
        <f t="shared" si="16"/>
        <v>0</v>
      </c>
      <c r="O111" s="44">
        <f t="shared" si="17"/>
        <v>0</v>
      </c>
    </row>
    <row r="112" spans="1:15" ht="12.75">
      <c r="A112" s="78">
        <v>46060</v>
      </c>
      <c r="B112" s="35">
        <f>IF(DIAS365('CALCULADORA TIS PESOS H-1'!$E$6,A112)&lt;0,0,DIAS365('CALCULADORA TIS PESOS H-1'!$E$6,A112))</f>
        <v>944</v>
      </c>
      <c r="C112" s="36">
        <f>+HLOOKUP('CALCULADORA TIS PESOS H-1'!$E$4,Tablas!$B$1:$B$181,Flujos!J112+1,FALSE)</f>
        <v>0</v>
      </c>
      <c r="D112" s="83">
        <f t="shared" si="10"/>
        <v>0</v>
      </c>
      <c r="E112" s="37">
        <f t="shared" si="11"/>
        <v>0</v>
      </c>
      <c r="F112" s="37">
        <f>ROUND(D111*ROUND(((1+'CALCULADORA TIS PESOS H-1'!$C$14)^(1/12)-1),6),6)</f>
        <v>0</v>
      </c>
      <c r="G112" s="37">
        <f t="shared" si="12"/>
        <v>0</v>
      </c>
      <c r="H112" s="38">
        <f>IF($B112=0,0,G112/POWER(1+'CALCULADORA TIS PESOS H-1'!$F$11,Flujos!$B112/365))</f>
        <v>0</v>
      </c>
      <c r="I112" s="39">
        <f t="shared" si="9"/>
        <v>46060</v>
      </c>
      <c r="J112" s="40">
        <v>110</v>
      </c>
      <c r="K112" s="41">
        <f t="shared" si="13"/>
        <v>3347</v>
      </c>
      <c r="L112" s="42">
        <f t="shared" si="14"/>
        <v>0</v>
      </c>
      <c r="M112" s="43">
        <f t="shared" si="15"/>
        <v>0</v>
      </c>
      <c r="N112" s="43">
        <f t="shared" si="16"/>
        <v>0</v>
      </c>
      <c r="O112" s="44">
        <f t="shared" si="17"/>
        <v>0</v>
      </c>
    </row>
    <row r="113" spans="1:15" ht="12.75">
      <c r="A113" s="78">
        <v>46088</v>
      </c>
      <c r="B113" s="35">
        <f>IF(DIAS365('CALCULADORA TIS PESOS H-1'!$E$6,A113)&lt;0,0,DIAS365('CALCULADORA TIS PESOS H-1'!$E$6,A113))</f>
        <v>972</v>
      </c>
      <c r="C113" s="36">
        <f>+HLOOKUP('CALCULADORA TIS PESOS H-1'!$E$4,Tablas!$B$1:$B$181,Flujos!J113+1,FALSE)</f>
        <v>0</v>
      </c>
      <c r="D113" s="83">
        <f t="shared" si="10"/>
        <v>0</v>
      </c>
      <c r="E113" s="37">
        <f t="shared" si="11"/>
        <v>0</v>
      </c>
      <c r="F113" s="37">
        <f>ROUND(D112*ROUND(((1+'CALCULADORA TIS PESOS H-1'!$C$14)^(1/12)-1),6),6)</f>
        <v>0</v>
      </c>
      <c r="G113" s="37">
        <f t="shared" si="12"/>
        <v>0</v>
      </c>
      <c r="H113" s="38">
        <f>IF($B113=0,0,G113/POWER(1+'CALCULADORA TIS PESOS H-1'!$F$11,Flujos!$B113/365))</f>
        <v>0</v>
      </c>
      <c r="I113" s="39">
        <f t="shared" si="9"/>
        <v>46088</v>
      </c>
      <c r="J113" s="40">
        <v>111</v>
      </c>
      <c r="K113" s="41">
        <f t="shared" si="13"/>
        <v>3375</v>
      </c>
      <c r="L113" s="42">
        <f t="shared" si="14"/>
        <v>0</v>
      </c>
      <c r="M113" s="43">
        <f t="shared" si="15"/>
        <v>0</v>
      </c>
      <c r="N113" s="43">
        <f t="shared" si="16"/>
        <v>0</v>
      </c>
      <c r="O113" s="44">
        <f t="shared" si="17"/>
        <v>0</v>
      </c>
    </row>
    <row r="114" spans="1:15" ht="12.75">
      <c r="A114" s="78">
        <v>46119</v>
      </c>
      <c r="B114" s="35">
        <f>IF(DIAS365('CALCULADORA TIS PESOS H-1'!$E$6,A114)&lt;0,0,DIAS365('CALCULADORA TIS PESOS H-1'!$E$6,A114))</f>
        <v>1003</v>
      </c>
      <c r="C114" s="36">
        <f>+HLOOKUP('CALCULADORA TIS PESOS H-1'!$E$4,Tablas!$B$1:$B$181,Flujos!J114+1,FALSE)</f>
        <v>0</v>
      </c>
      <c r="D114" s="83">
        <f t="shared" si="10"/>
        <v>0</v>
      </c>
      <c r="E114" s="37">
        <f t="shared" si="11"/>
        <v>0</v>
      </c>
      <c r="F114" s="37">
        <f>ROUND(D113*ROUND(((1+'CALCULADORA TIS PESOS H-1'!$C$14)^(1/12)-1),6),6)</f>
        <v>0</v>
      </c>
      <c r="G114" s="37">
        <f t="shared" si="12"/>
        <v>0</v>
      </c>
      <c r="H114" s="38">
        <f>IF($B114=0,0,G114/POWER(1+'CALCULADORA TIS PESOS H-1'!$F$11,Flujos!$B114/365))</f>
        <v>0</v>
      </c>
      <c r="I114" s="39">
        <f t="shared" si="9"/>
        <v>46119</v>
      </c>
      <c r="J114" s="40">
        <v>112</v>
      </c>
      <c r="K114" s="41">
        <f t="shared" si="13"/>
        <v>3406</v>
      </c>
      <c r="L114" s="42">
        <f t="shared" si="14"/>
        <v>0</v>
      </c>
      <c r="M114" s="43">
        <f t="shared" si="15"/>
        <v>0</v>
      </c>
      <c r="N114" s="43">
        <f t="shared" si="16"/>
        <v>0</v>
      </c>
      <c r="O114" s="44">
        <f t="shared" si="17"/>
        <v>0</v>
      </c>
    </row>
    <row r="115" spans="1:15" ht="12.75">
      <c r="A115" s="78">
        <v>46149</v>
      </c>
      <c r="B115" s="35">
        <f>IF(DIAS365('CALCULADORA TIS PESOS H-1'!$E$6,A115)&lt;0,0,DIAS365('CALCULADORA TIS PESOS H-1'!$E$6,A115))</f>
        <v>1033</v>
      </c>
      <c r="C115" s="36">
        <f>+HLOOKUP('CALCULADORA TIS PESOS H-1'!$E$4,Tablas!$B$1:$B$181,Flujos!J115+1,FALSE)</f>
        <v>0</v>
      </c>
      <c r="D115" s="83">
        <f t="shared" si="10"/>
        <v>0</v>
      </c>
      <c r="E115" s="37">
        <f t="shared" si="11"/>
        <v>0</v>
      </c>
      <c r="F115" s="37">
        <f>ROUND(D114*ROUND(((1+'CALCULADORA TIS PESOS H-1'!$C$14)^(1/12)-1),6),6)</f>
        <v>0</v>
      </c>
      <c r="G115" s="37">
        <f t="shared" si="12"/>
        <v>0</v>
      </c>
      <c r="H115" s="38">
        <f>IF($B115=0,0,G115/POWER(1+'CALCULADORA TIS PESOS H-1'!$F$11,Flujos!$B115/365))</f>
        <v>0</v>
      </c>
      <c r="I115" s="39">
        <f t="shared" si="9"/>
        <v>46149</v>
      </c>
      <c r="J115" s="40">
        <v>113</v>
      </c>
      <c r="K115" s="41">
        <f t="shared" si="13"/>
        <v>3436</v>
      </c>
      <c r="L115" s="42">
        <f t="shared" si="14"/>
        <v>0</v>
      </c>
      <c r="M115" s="43">
        <f t="shared" si="15"/>
        <v>0</v>
      </c>
      <c r="N115" s="43">
        <f t="shared" si="16"/>
        <v>0</v>
      </c>
      <c r="O115" s="44">
        <f t="shared" si="17"/>
        <v>0</v>
      </c>
    </row>
    <row r="116" spans="1:15" ht="12.75">
      <c r="A116" s="78">
        <v>46180</v>
      </c>
      <c r="B116" s="35">
        <f>IF(DIAS365('CALCULADORA TIS PESOS H-1'!$E$6,A116)&lt;0,0,DIAS365('CALCULADORA TIS PESOS H-1'!$E$6,A116))</f>
        <v>1064</v>
      </c>
      <c r="C116" s="36">
        <f>+HLOOKUP('CALCULADORA TIS PESOS H-1'!$E$4,Tablas!$B$1:$B$181,Flujos!J116+1,FALSE)</f>
        <v>0</v>
      </c>
      <c r="D116" s="83">
        <f t="shared" si="10"/>
        <v>0</v>
      </c>
      <c r="E116" s="37">
        <f t="shared" si="11"/>
        <v>0</v>
      </c>
      <c r="F116" s="37">
        <f>ROUND(D115*ROUND(((1+'CALCULADORA TIS PESOS H-1'!$C$14)^(1/12)-1),6),6)</f>
        <v>0</v>
      </c>
      <c r="G116" s="37">
        <f t="shared" si="12"/>
        <v>0</v>
      </c>
      <c r="H116" s="38">
        <f>IF($B116=0,0,G116/POWER(1+'CALCULADORA TIS PESOS H-1'!$F$11,Flujos!$B116/365))</f>
        <v>0</v>
      </c>
      <c r="I116" s="39">
        <f t="shared" si="9"/>
        <v>46180</v>
      </c>
      <c r="J116" s="40">
        <v>114</v>
      </c>
      <c r="K116" s="41">
        <f t="shared" si="13"/>
        <v>3467</v>
      </c>
      <c r="L116" s="42">
        <f t="shared" si="14"/>
        <v>0</v>
      </c>
      <c r="M116" s="43">
        <f t="shared" si="15"/>
        <v>0</v>
      </c>
      <c r="N116" s="43">
        <f t="shared" si="16"/>
        <v>0</v>
      </c>
      <c r="O116" s="44">
        <f t="shared" si="17"/>
        <v>0</v>
      </c>
    </row>
    <row r="117" spans="1:15" ht="12.75">
      <c r="A117" s="78">
        <v>46210</v>
      </c>
      <c r="B117" s="35">
        <f>IF(DIAS365('CALCULADORA TIS PESOS H-1'!$E$6,A117)&lt;0,0,DIAS365('CALCULADORA TIS PESOS H-1'!$E$6,A117))</f>
        <v>1094</v>
      </c>
      <c r="C117" s="36">
        <f>+HLOOKUP('CALCULADORA TIS PESOS H-1'!$E$4,Tablas!$B$1:$B$181,Flujos!J117+1,FALSE)</f>
        <v>0</v>
      </c>
      <c r="D117" s="83">
        <f t="shared" si="10"/>
        <v>0</v>
      </c>
      <c r="E117" s="37">
        <f t="shared" si="11"/>
        <v>0</v>
      </c>
      <c r="F117" s="37">
        <f>ROUND(D116*ROUND(((1+'CALCULADORA TIS PESOS H-1'!$C$14)^(1/12)-1),6),6)</f>
        <v>0</v>
      </c>
      <c r="G117" s="37">
        <f t="shared" si="12"/>
        <v>0</v>
      </c>
      <c r="H117" s="38">
        <f>IF($B117=0,0,G117/POWER(1+'CALCULADORA TIS PESOS H-1'!$F$11,Flujos!$B117/365))</f>
        <v>0</v>
      </c>
      <c r="I117" s="39">
        <f t="shared" si="9"/>
        <v>46210</v>
      </c>
      <c r="J117" s="40">
        <v>115</v>
      </c>
      <c r="K117" s="41">
        <f t="shared" si="13"/>
        <v>3497</v>
      </c>
      <c r="L117" s="42">
        <f t="shared" si="14"/>
        <v>0</v>
      </c>
      <c r="M117" s="43">
        <f t="shared" si="15"/>
        <v>0</v>
      </c>
      <c r="N117" s="43">
        <f t="shared" si="16"/>
        <v>0</v>
      </c>
      <c r="O117" s="44">
        <f t="shared" si="17"/>
        <v>0</v>
      </c>
    </row>
    <row r="118" spans="1:15" ht="12.75">
      <c r="A118" s="78">
        <v>46241</v>
      </c>
      <c r="B118" s="35">
        <f>IF(DIAS365('CALCULADORA TIS PESOS H-1'!$E$6,A118)&lt;0,0,DIAS365('CALCULADORA TIS PESOS H-1'!$E$6,A118))</f>
        <v>1125</v>
      </c>
      <c r="C118" s="36">
        <f>+HLOOKUP('CALCULADORA TIS PESOS H-1'!$E$4,Tablas!$B$1:$B$181,Flujos!J118+1,FALSE)</f>
        <v>0</v>
      </c>
      <c r="D118" s="83">
        <f t="shared" si="10"/>
        <v>0</v>
      </c>
      <c r="E118" s="37">
        <f t="shared" si="11"/>
        <v>0</v>
      </c>
      <c r="F118" s="37">
        <f>ROUND(D117*ROUND(((1+'CALCULADORA TIS PESOS H-1'!$C$14)^(1/12)-1),6),6)</f>
        <v>0</v>
      </c>
      <c r="G118" s="37">
        <f t="shared" si="12"/>
        <v>0</v>
      </c>
      <c r="H118" s="38">
        <f>IF($B118=0,0,G118/POWER(1+'CALCULADORA TIS PESOS H-1'!$F$11,Flujos!$B118/365))</f>
        <v>0</v>
      </c>
      <c r="I118" s="39">
        <f t="shared" si="9"/>
        <v>46241</v>
      </c>
      <c r="J118" s="40">
        <v>116</v>
      </c>
      <c r="K118" s="41">
        <f t="shared" si="13"/>
        <v>3528</v>
      </c>
      <c r="L118" s="42">
        <f t="shared" si="14"/>
        <v>0</v>
      </c>
      <c r="M118" s="43">
        <f t="shared" si="15"/>
        <v>0</v>
      </c>
      <c r="N118" s="43">
        <f t="shared" si="16"/>
        <v>0</v>
      </c>
      <c r="O118" s="44">
        <f t="shared" si="17"/>
        <v>0</v>
      </c>
    </row>
    <row r="119" spans="1:15" ht="12.75">
      <c r="A119" s="78">
        <v>46272</v>
      </c>
      <c r="B119" s="35">
        <f>IF(DIAS365('CALCULADORA TIS PESOS H-1'!$E$6,A119)&lt;0,0,DIAS365('CALCULADORA TIS PESOS H-1'!$E$6,A119))</f>
        <v>1156</v>
      </c>
      <c r="C119" s="36">
        <f>+HLOOKUP('CALCULADORA TIS PESOS H-1'!$E$4,Tablas!$B$1:$B$181,Flujos!J119+1,FALSE)</f>
        <v>0</v>
      </c>
      <c r="D119" s="83">
        <f t="shared" si="10"/>
        <v>0</v>
      </c>
      <c r="E119" s="37">
        <f t="shared" si="11"/>
        <v>0</v>
      </c>
      <c r="F119" s="37">
        <f>ROUND(D118*ROUND(((1+'CALCULADORA TIS PESOS H-1'!$C$14)^(1/12)-1),6),6)</f>
        <v>0</v>
      </c>
      <c r="G119" s="37">
        <f t="shared" si="12"/>
        <v>0</v>
      </c>
      <c r="H119" s="38">
        <f>IF($B119=0,0,G119/POWER(1+'CALCULADORA TIS PESOS H-1'!$F$11,Flujos!$B119/365))</f>
        <v>0</v>
      </c>
      <c r="I119" s="39">
        <f t="shared" si="9"/>
        <v>46272</v>
      </c>
      <c r="J119" s="40">
        <v>117</v>
      </c>
      <c r="K119" s="41">
        <f t="shared" si="13"/>
        <v>3559</v>
      </c>
      <c r="L119" s="42">
        <f t="shared" si="14"/>
        <v>0</v>
      </c>
      <c r="M119" s="43">
        <f t="shared" si="15"/>
        <v>0</v>
      </c>
      <c r="N119" s="43">
        <f t="shared" si="16"/>
        <v>0</v>
      </c>
      <c r="O119" s="44">
        <f t="shared" si="17"/>
        <v>0</v>
      </c>
    </row>
    <row r="120" spans="1:15" ht="12.75">
      <c r="A120" s="78">
        <v>46302</v>
      </c>
      <c r="B120" s="35">
        <f>IF(DIAS365('CALCULADORA TIS PESOS H-1'!$E$6,A120)&lt;0,0,DIAS365('CALCULADORA TIS PESOS H-1'!$E$6,A120))</f>
        <v>1186</v>
      </c>
      <c r="C120" s="36">
        <f>+HLOOKUP('CALCULADORA TIS PESOS H-1'!$E$4,Tablas!$B$1:$B$181,Flujos!J120+1,FALSE)</f>
        <v>0</v>
      </c>
      <c r="D120" s="83">
        <f t="shared" si="10"/>
        <v>0</v>
      </c>
      <c r="E120" s="37">
        <f t="shared" si="11"/>
        <v>0</v>
      </c>
      <c r="F120" s="37">
        <f>ROUND(D119*ROUND(((1+'CALCULADORA TIS PESOS H-1'!$C$14)^(1/12)-1),6),6)</f>
        <v>0</v>
      </c>
      <c r="G120" s="37">
        <f t="shared" si="12"/>
        <v>0</v>
      </c>
      <c r="H120" s="38">
        <f>IF($B120=0,0,G120/POWER(1+'CALCULADORA TIS PESOS H-1'!$F$11,Flujos!$B120/365))</f>
        <v>0</v>
      </c>
      <c r="I120" s="39">
        <f t="shared" si="9"/>
        <v>46302</v>
      </c>
      <c r="J120" s="40">
        <v>118</v>
      </c>
      <c r="K120" s="41">
        <f t="shared" si="13"/>
        <v>3589</v>
      </c>
      <c r="L120" s="42">
        <f t="shared" si="14"/>
        <v>0</v>
      </c>
      <c r="M120" s="43">
        <f t="shared" si="15"/>
        <v>0</v>
      </c>
      <c r="N120" s="43">
        <f t="shared" si="16"/>
        <v>0</v>
      </c>
      <c r="O120" s="44">
        <f t="shared" si="17"/>
        <v>0</v>
      </c>
    </row>
    <row r="121" spans="1:15" ht="12.75">
      <c r="A121" s="78">
        <v>46333</v>
      </c>
      <c r="B121" s="35">
        <f>IF(DIAS365('CALCULADORA TIS PESOS H-1'!$E$6,A121)&lt;0,0,DIAS365('CALCULADORA TIS PESOS H-1'!$E$6,A121))</f>
        <v>1217</v>
      </c>
      <c r="C121" s="36">
        <f>+HLOOKUP('CALCULADORA TIS PESOS H-1'!$E$4,Tablas!$B$1:$B$181,Flujos!J121+1,FALSE)</f>
        <v>0</v>
      </c>
      <c r="D121" s="83">
        <f t="shared" si="10"/>
        <v>0</v>
      </c>
      <c r="E121" s="37">
        <f t="shared" si="11"/>
        <v>0</v>
      </c>
      <c r="F121" s="37">
        <f>ROUND(D120*ROUND(((1+'CALCULADORA TIS PESOS H-1'!$C$14)^(1/12)-1),6),6)</f>
        <v>0</v>
      </c>
      <c r="G121" s="37">
        <f t="shared" si="12"/>
        <v>0</v>
      </c>
      <c r="H121" s="38">
        <f>IF($B121=0,0,G121/POWER(1+'CALCULADORA TIS PESOS H-1'!$F$11,Flujos!$B121/365))</f>
        <v>0</v>
      </c>
      <c r="I121" s="39">
        <f t="shared" si="9"/>
        <v>46333</v>
      </c>
      <c r="J121" s="40">
        <v>119</v>
      </c>
      <c r="K121" s="41">
        <f t="shared" si="13"/>
        <v>3620</v>
      </c>
      <c r="L121" s="42">
        <f t="shared" si="14"/>
        <v>0</v>
      </c>
      <c r="M121" s="43">
        <f t="shared" si="15"/>
        <v>0</v>
      </c>
      <c r="N121" s="43">
        <f t="shared" si="16"/>
        <v>0</v>
      </c>
      <c r="O121" s="44">
        <f t="shared" si="17"/>
        <v>0</v>
      </c>
    </row>
    <row r="122" spans="1:15" ht="12.75">
      <c r="A122" s="78">
        <v>46363</v>
      </c>
      <c r="B122" s="35">
        <f>IF(DIAS365('CALCULADORA TIS PESOS H-1'!$E$6,A122)&lt;0,0,DIAS365('CALCULADORA TIS PESOS H-1'!$E$6,A122))</f>
        <v>1247</v>
      </c>
      <c r="C122" s="36">
        <f>+HLOOKUP('CALCULADORA TIS PESOS H-1'!$E$4,Tablas!$B$1:$B$181,Flujos!J122+1,FALSE)</f>
        <v>0</v>
      </c>
      <c r="D122" s="83">
        <f t="shared" si="10"/>
        <v>0</v>
      </c>
      <c r="E122" s="37">
        <f t="shared" si="11"/>
        <v>0</v>
      </c>
      <c r="F122" s="37">
        <f>ROUND(D121*ROUND(((1+'CALCULADORA TIS PESOS H-1'!$C$14)^(1/12)-1),6),6)</f>
        <v>0</v>
      </c>
      <c r="G122" s="37">
        <f t="shared" si="12"/>
        <v>0</v>
      </c>
      <c r="H122" s="38">
        <f>IF($B122=0,0,G122/POWER(1+'CALCULADORA TIS PESOS H-1'!$F$11,Flujos!$B122/365))</f>
        <v>0</v>
      </c>
      <c r="I122" s="39">
        <f t="shared" si="9"/>
        <v>46363</v>
      </c>
      <c r="J122" s="40">
        <v>120</v>
      </c>
      <c r="K122" s="41">
        <f t="shared" si="13"/>
        <v>3650</v>
      </c>
      <c r="L122" s="42">
        <f t="shared" si="14"/>
        <v>0</v>
      </c>
      <c r="M122" s="43">
        <f t="shared" si="15"/>
        <v>0</v>
      </c>
      <c r="N122" s="43">
        <f t="shared" si="16"/>
        <v>0</v>
      </c>
      <c r="O122" s="44">
        <f t="shared" si="17"/>
        <v>0</v>
      </c>
    </row>
    <row r="123" spans="1:15" ht="12.75">
      <c r="A123" s="78">
        <v>46394</v>
      </c>
      <c r="B123" s="35">
        <f>IF(DIAS365('CALCULADORA TIS PESOS H-1'!$E$6,A123)&lt;0,0,DIAS365('CALCULADORA TIS PESOS H-1'!$E$6,A123))</f>
        <v>1278</v>
      </c>
      <c r="C123" s="36">
        <f>+HLOOKUP('CALCULADORA TIS PESOS H-1'!$E$4,Tablas!$B$1:$B$181,Flujos!J123+1,FALSE)</f>
        <v>0</v>
      </c>
      <c r="D123" s="83">
        <f t="shared" si="10"/>
        <v>0</v>
      </c>
      <c r="E123" s="37">
        <f t="shared" si="11"/>
        <v>0</v>
      </c>
      <c r="F123" s="37">
        <f>ROUND(D122*ROUND(((1+'CALCULADORA TIS PESOS H-1'!$C$14)^(1/12)-1),6),6)</f>
        <v>0</v>
      </c>
      <c r="G123" s="37">
        <f t="shared" si="12"/>
        <v>0</v>
      </c>
      <c r="H123" s="38">
        <f>IF($B123=0,0,G123/POWER(1+'CALCULADORA TIS PESOS H-1'!$F$11,Flujos!$B123/365))</f>
        <v>0</v>
      </c>
      <c r="I123" s="39">
        <f t="shared" si="9"/>
        <v>46394</v>
      </c>
      <c r="J123" s="40">
        <v>121</v>
      </c>
      <c r="K123" s="41">
        <f t="shared" si="13"/>
        <v>3681</v>
      </c>
      <c r="L123" s="42">
        <f t="shared" si="14"/>
        <v>0</v>
      </c>
      <c r="M123" s="43">
        <f t="shared" si="15"/>
        <v>0</v>
      </c>
      <c r="N123" s="43">
        <f t="shared" si="16"/>
        <v>0</v>
      </c>
      <c r="O123" s="44">
        <f t="shared" si="17"/>
        <v>0</v>
      </c>
    </row>
    <row r="124" spans="1:15" ht="12.75">
      <c r="A124" s="78">
        <v>46425</v>
      </c>
      <c r="B124" s="35">
        <f>IF(DIAS365('CALCULADORA TIS PESOS H-1'!$E$6,A124)&lt;0,0,DIAS365('CALCULADORA TIS PESOS H-1'!$E$6,A124))</f>
        <v>1309</v>
      </c>
      <c r="C124" s="36">
        <f>+HLOOKUP('CALCULADORA TIS PESOS H-1'!$E$4,Tablas!$B$1:$B$181,Flujos!J124+1,FALSE)</f>
        <v>0</v>
      </c>
      <c r="D124" s="83">
        <f t="shared" si="10"/>
        <v>0</v>
      </c>
      <c r="E124" s="37">
        <f t="shared" si="11"/>
        <v>0</v>
      </c>
      <c r="F124" s="37">
        <f>ROUND(D123*ROUND(((1+'CALCULADORA TIS PESOS H-1'!$C$14)^(1/12)-1),6),6)</f>
        <v>0</v>
      </c>
      <c r="G124" s="37">
        <f t="shared" si="12"/>
        <v>0</v>
      </c>
      <c r="H124" s="38">
        <f>IF($B124=0,0,G124/POWER(1+'CALCULADORA TIS PESOS H-1'!$F$11,Flujos!$B124/365))</f>
        <v>0</v>
      </c>
      <c r="I124" s="39">
        <f t="shared" si="9"/>
        <v>46425</v>
      </c>
      <c r="J124" s="40">
        <v>122</v>
      </c>
      <c r="K124" s="41">
        <f t="shared" si="13"/>
        <v>3712</v>
      </c>
      <c r="L124" s="42">
        <f t="shared" si="14"/>
        <v>0</v>
      </c>
      <c r="M124" s="43">
        <f t="shared" si="15"/>
        <v>0</v>
      </c>
      <c r="N124" s="43">
        <f t="shared" si="16"/>
        <v>0</v>
      </c>
      <c r="O124" s="44">
        <f t="shared" si="17"/>
        <v>0</v>
      </c>
    </row>
    <row r="125" spans="1:15" ht="12.75">
      <c r="A125" s="78">
        <v>46453</v>
      </c>
      <c r="B125" s="35">
        <f>IF(DIAS365('CALCULADORA TIS PESOS H-1'!$E$6,A125)&lt;0,0,DIAS365('CALCULADORA TIS PESOS H-1'!$E$6,A125))</f>
        <v>1337</v>
      </c>
      <c r="C125" s="36">
        <f>+HLOOKUP('CALCULADORA TIS PESOS H-1'!$E$4,Tablas!$B$1:$B$181,Flujos!J125+1,FALSE)</f>
        <v>0</v>
      </c>
      <c r="D125" s="83">
        <f t="shared" si="10"/>
        <v>0</v>
      </c>
      <c r="E125" s="37">
        <f t="shared" si="11"/>
        <v>0</v>
      </c>
      <c r="F125" s="37">
        <f>ROUND(D124*ROUND(((1+'CALCULADORA TIS PESOS H-1'!$C$14)^(1/12)-1),6),6)</f>
        <v>0</v>
      </c>
      <c r="G125" s="37">
        <f t="shared" si="12"/>
        <v>0</v>
      </c>
      <c r="H125" s="38">
        <f>IF($B125=0,0,G125/POWER(1+'CALCULADORA TIS PESOS H-1'!$F$11,Flujos!$B125/365))</f>
        <v>0</v>
      </c>
      <c r="I125" s="39">
        <f t="shared" si="9"/>
        <v>46453</v>
      </c>
      <c r="J125" s="40">
        <v>123</v>
      </c>
      <c r="K125" s="41">
        <f t="shared" si="13"/>
        <v>3740</v>
      </c>
      <c r="L125" s="42">
        <f t="shared" si="14"/>
        <v>0</v>
      </c>
      <c r="M125" s="43">
        <f t="shared" si="15"/>
        <v>0</v>
      </c>
      <c r="N125" s="43">
        <f t="shared" si="16"/>
        <v>0</v>
      </c>
      <c r="O125" s="44">
        <f t="shared" si="17"/>
        <v>0</v>
      </c>
    </row>
    <row r="126" spans="1:15" ht="12.75">
      <c r="A126" s="78">
        <v>46484</v>
      </c>
      <c r="B126" s="35">
        <f>IF(DIAS365('CALCULADORA TIS PESOS H-1'!$E$6,A126)&lt;0,0,DIAS365('CALCULADORA TIS PESOS H-1'!$E$6,A126))</f>
        <v>1368</v>
      </c>
      <c r="C126" s="36">
        <f>+HLOOKUP('CALCULADORA TIS PESOS H-1'!$E$4,Tablas!$B$1:$B$181,Flujos!J126+1,FALSE)</f>
        <v>0</v>
      </c>
      <c r="D126" s="83">
        <f t="shared" si="10"/>
        <v>0</v>
      </c>
      <c r="E126" s="37">
        <f t="shared" si="11"/>
        <v>0</v>
      </c>
      <c r="F126" s="37">
        <f>ROUND(D125*ROUND(((1+'CALCULADORA TIS PESOS H-1'!$C$14)^(1/12)-1),6),6)</f>
        <v>0</v>
      </c>
      <c r="G126" s="37">
        <f t="shared" si="12"/>
        <v>0</v>
      </c>
      <c r="H126" s="38">
        <f>IF($B126=0,0,G126/POWER(1+'CALCULADORA TIS PESOS H-1'!$F$11,Flujos!$B126/365))</f>
        <v>0</v>
      </c>
      <c r="I126" s="39">
        <f t="shared" si="9"/>
        <v>46484</v>
      </c>
      <c r="J126" s="40">
        <v>124</v>
      </c>
      <c r="K126" s="41">
        <f t="shared" si="13"/>
        <v>3771</v>
      </c>
      <c r="L126" s="42">
        <f t="shared" si="14"/>
        <v>0</v>
      </c>
      <c r="M126" s="43">
        <f t="shared" si="15"/>
        <v>0</v>
      </c>
      <c r="N126" s="43">
        <f t="shared" si="16"/>
        <v>0</v>
      </c>
      <c r="O126" s="44">
        <f t="shared" si="17"/>
        <v>0</v>
      </c>
    </row>
    <row r="127" spans="1:15" ht="12.75">
      <c r="A127" s="78">
        <v>46514</v>
      </c>
      <c r="B127" s="35">
        <f>IF(DIAS365('CALCULADORA TIS PESOS H-1'!$E$6,A127)&lt;0,0,DIAS365('CALCULADORA TIS PESOS H-1'!$E$6,A127))</f>
        <v>1398</v>
      </c>
      <c r="C127" s="36">
        <f>+HLOOKUP('CALCULADORA TIS PESOS H-1'!$E$4,Tablas!$B$1:$B$181,Flujos!J127+1,FALSE)</f>
        <v>0</v>
      </c>
      <c r="D127" s="83">
        <f t="shared" si="10"/>
        <v>0</v>
      </c>
      <c r="E127" s="37">
        <f t="shared" si="11"/>
        <v>0</v>
      </c>
      <c r="F127" s="37">
        <f>ROUND(D126*ROUND(((1+'CALCULADORA TIS PESOS H-1'!$C$14)^(1/12)-1),6),6)</f>
        <v>0</v>
      </c>
      <c r="G127" s="37">
        <f t="shared" si="12"/>
        <v>0</v>
      </c>
      <c r="H127" s="38">
        <f>IF($B127=0,0,G127/POWER(1+'CALCULADORA TIS PESOS H-1'!$F$11,Flujos!$B127/365))</f>
        <v>0</v>
      </c>
      <c r="I127" s="39">
        <f t="shared" si="9"/>
        <v>46514</v>
      </c>
      <c r="J127" s="40">
        <v>125</v>
      </c>
      <c r="K127" s="41">
        <f t="shared" si="13"/>
        <v>3801</v>
      </c>
      <c r="L127" s="42">
        <f t="shared" si="14"/>
        <v>0</v>
      </c>
      <c r="M127" s="43">
        <f t="shared" si="15"/>
        <v>0</v>
      </c>
      <c r="N127" s="43">
        <f t="shared" si="16"/>
        <v>0</v>
      </c>
      <c r="O127" s="44">
        <f t="shared" si="17"/>
        <v>0</v>
      </c>
    </row>
    <row r="128" spans="1:15" ht="12.75">
      <c r="A128" s="78">
        <v>46545</v>
      </c>
      <c r="B128" s="35">
        <f>IF(DIAS365('CALCULADORA TIS PESOS H-1'!$E$6,A128)&lt;0,0,DIAS365('CALCULADORA TIS PESOS H-1'!$E$6,A128))</f>
        <v>1429</v>
      </c>
      <c r="C128" s="36">
        <f>+HLOOKUP('CALCULADORA TIS PESOS H-1'!$E$4,Tablas!$B$1:$B$181,Flujos!J128+1,FALSE)</f>
        <v>0</v>
      </c>
      <c r="D128" s="83">
        <f t="shared" si="10"/>
        <v>0</v>
      </c>
      <c r="E128" s="37">
        <f t="shared" si="11"/>
        <v>0</v>
      </c>
      <c r="F128" s="37">
        <f>ROUND(D127*ROUND(((1+'CALCULADORA TIS PESOS H-1'!$C$14)^(1/12)-1),6),6)</f>
        <v>0</v>
      </c>
      <c r="G128" s="37">
        <f t="shared" si="12"/>
        <v>0</v>
      </c>
      <c r="H128" s="38">
        <f>IF($B128=0,0,G128/POWER(1+'CALCULADORA TIS PESOS H-1'!$F$11,Flujos!$B128/365))</f>
        <v>0</v>
      </c>
      <c r="I128" s="39">
        <f t="shared" si="9"/>
        <v>46545</v>
      </c>
      <c r="J128" s="40">
        <v>126</v>
      </c>
      <c r="K128" s="41">
        <f t="shared" si="13"/>
        <v>3832</v>
      </c>
      <c r="L128" s="42">
        <f t="shared" si="14"/>
        <v>0</v>
      </c>
      <c r="M128" s="43">
        <f t="shared" si="15"/>
        <v>0</v>
      </c>
      <c r="N128" s="43">
        <f t="shared" si="16"/>
        <v>0</v>
      </c>
      <c r="O128" s="44">
        <f t="shared" si="17"/>
        <v>0</v>
      </c>
    </row>
    <row r="129" spans="1:15" ht="12.75">
      <c r="A129" s="78">
        <v>46575</v>
      </c>
      <c r="B129" s="35">
        <f>IF(DIAS365('CALCULADORA TIS PESOS H-1'!$E$6,A129)&lt;0,0,DIAS365('CALCULADORA TIS PESOS H-1'!$E$6,A129))</f>
        <v>1459</v>
      </c>
      <c r="C129" s="36">
        <f>+HLOOKUP('CALCULADORA TIS PESOS H-1'!$E$4,Tablas!$B$1:$B$181,Flujos!J129+1,FALSE)</f>
        <v>0</v>
      </c>
      <c r="D129" s="83">
        <f t="shared" si="10"/>
        <v>0</v>
      </c>
      <c r="E129" s="37">
        <f t="shared" si="11"/>
        <v>0</v>
      </c>
      <c r="F129" s="37">
        <f>ROUND(D128*ROUND(((1+'CALCULADORA TIS PESOS H-1'!$C$14)^(1/12)-1),6),6)</f>
        <v>0</v>
      </c>
      <c r="G129" s="37">
        <f t="shared" si="12"/>
        <v>0</v>
      </c>
      <c r="H129" s="38">
        <f>IF($B129=0,0,G129/POWER(1+'CALCULADORA TIS PESOS H-1'!$F$11,Flujos!$B129/365))</f>
        <v>0</v>
      </c>
      <c r="I129" s="39">
        <f t="shared" si="9"/>
        <v>46575</v>
      </c>
      <c r="J129" s="40">
        <v>127</v>
      </c>
      <c r="K129" s="41">
        <f t="shared" si="13"/>
        <v>3862</v>
      </c>
      <c r="L129" s="42">
        <f t="shared" si="14"/>
        <v>0</v>
      </c>
      <c r="M129" s="43">
        <f t="shared" si="15"/>
        <v>0</v>
      </c>
      <c r="N129" s="43">
        <f t="shared" si="16"/>
        <v>0</v>
      </c>
      <c r="O129" s="44">
        <f t="shared" si="17"/>
        <v>0</v>
      </c>
    </row>
    <row r="130" spans="1:15" ht="12.75">
      <c r="A130" s="78">
        <v>46606</v>
      </c>
      <c r="B130" s="35">
        <f>IF(DIAS365('CALCULADORA TIS PESOS H-1'!$E$6,A130)&lt;0,0,DIAS365('CALCULADORA TIS PESOS H-1'!$E$6,A130))</f>
        <v>1490</v>
      </c>
      <c r="C130" s="36">
        <f>+HLOOKUP('CALCULADORA TIS PESOS H-1'!$E$4,Tablas!$B$1:$B$181,Flujos!J130+1,FALSE)</f>
        <v>0</v>
      </c>
      <c r="D130" s="83">
        <f t="shared" si="10"/>
        <v>0</v>
      </c>
      <c r="E130" s="37">
        <f t="shared" si="11"/>
        <v>0</v>
      </c>
      <c r="F130" s="37">
        <f>ROUND(D129*ROUND(((1+'CALCULADORA TIS PESOS H-1'!$C$14)^(1/12)-1),6),6)</f>
        <v>0</v>
      </c>
      <c r="G130" s="37">
        <f t="shared" si="12"/>
        <v>0</v>
      </c>
      <c r="H130" s="38">
        <f>IF($B130=0,0,G130/POWER(1+'CALCULADORA TIS PESOS H-1'!$F$11,Flujos!$B130/365))</f>
        <v>0</v>
      </c>
      <c r="I130" s="39">
        <f t="shared" si="9"/>
        <v>46606</v>
      </c>
      <c r="J130" s="40">
        <v>128</v>
      </c>
      <c r="K130" s="41">
        <f t="shared" si="13"/>
        <v>3893</v>
      </c>
      <c r="L130" s="42">
        <f t="shared" si="14"/>
        <v>0</v>
      </c>
      <c r="M130" s="43">
        <f t="shared" si="15"/>
        <v>0</v>
      </c>
      <c r="N130" s="43">
        <f t="shared" si="16"/>
        <v>0</v>
      </c>
      <c r="O130" s="44">
        <f t="shared" si="17"/>
        <v>0</v>
      </c>
    </row>
    <row r="131" spans="1:15" ht="12.75">
      <c r="A131" s="78">
        <v>46637</v>
      </c>
      <c r="B131" s="35">
        <f>IF(DIAS365('CALCULADORA TIS PESOS H-1'!$E$6,A131)&lt;0,0,DIAS365('CALCULADORA TIS PESOS H-1'!$E$6,A131))</f>
        <v>1521</v>
      </c>
      <c r="C131" s="36">
        <f>+HLOOKUP('CALCULADORA TIS PESOS H-1'!$E$4,Tablas!$B$1:$B$181,Flujos!J131+1,FALSE)</f>
        <v>0</v>
      </c>
      <c r="D131" s="83">
        <f t="shared" si="10"/>
        <v>0</v>
      </c>
      <c r="E131" s="37">
        <f t="shared" si="11"/>
        <v>0</v>
      </c>
      <c r="F131" s="37">
        <f>ROUND(D130*ROUND(((1+'CALCULADORA TIS PESOS H-1'!$C$14)^(1/12)-1),6),6)</f>
        <v>0</v>
      </c>
      <c r="G131" s="37">
        <f t="shared" si="12"/>
        <v>0</v>
      </c>
      <c r="H131" s="38">
        <f>IF($B131=0,0,G131/POWER(1+'CALCULADORA TIS PESOS H-1'!$F$11,Flujos!$B131/365))</f>
        <v>0</v>
      </c>
      <c r="I131" s="39">
        <f aca="true" t="shared" si="18" ref="I131:I182">+A131</f>
        <v>46637</v>
      </c>
      <c r="J131" s="40">
        <v>129</v>
      </c>
      <c r="K131" s="41">
        <f t="shared" si="13"/>
        <v>3924</v>
      </c>
      <c r="L131" s="42">
        <f t="shared" si="14"/>
        <v>0</v>
      </c>
      <c r="M131" s="43">
        <f t="shared" si="15"/>
        <v>0</v>
      </c>
      <c r="N131" s="43">
        <f t="shared" si="16"/>
        <v>0</v>
      </c>
      <c r="O131" s="44">
        <f t="shared" si="17"/>
        <v>0</v>
      </c>
    </row>
    <row r="132" spans="1:15" ht="12.75">
      <c r="A132" s="78">
        <v>46667</v>
      </c>
      <c r="B132" s="35">
        <f>IF(DIAS365('CALCULADORA TIS PESOS H-1'!$E$6,A132)&lt;0,0,DIAS365('CALCULADORA TIS PESOS H-1'!$E$6,A132))</f>
        <v>1551</v>
      </c>
      <c r="C132" s="36">
        <f>+HLOOKUP('CALCULADORA TIS PESOS H-1'!$E$4,Tablas!$B$1:$B$181,Flujos!J132+1,FALSE)</f>
        <v>0</v>
      </c>
      <c r="D132" s="83">
        <f aca="true" t="shared" si="19" ref="D132:D182">IF(+ROUND(D131-E132,15)&lt;0.000009,0,ROUND(D131-E132,15))</f>
        <v>0</v>
      </c>
      <c r="E132" s="37">
        <f aca="true" t="shared" si="20" ref="E132:E182">ROUND(C132*$D$2,6)</f>
        <v>0</v>
      </c>
      <c r="F132" s="37">
        <f>ROUND(D131*ROUND(((1+'CALCULADORA TIS PESOS H-1'!$C$14)^(1/12)-1),6),6)</f>
        <v>0</v>
      </c>
      <c r="G132" s="37">
        <f aca="true" t="shared" si="21" ref="G132:G182">F132+E132</f>
        <v>0</v>
      </c>
      <c r="H132" s="38">
        <f>IF($B132=0,0,G132/POWER(1+'CALCULADORA TIS PESOS H-1'!$F$11,Flujos!$B132/365))</f>
        <v>0</v>
      </c>
      <c r="I132" s="39">
        <f t="shared" si="18"/>
        <v>46667</v>
      </c>
      <c r="J132" s="40">
        <v>130</v>
      </c>
      <c r="K132" s="41">
        <f aca="true" t="shared" si="22" ref="K132:K182">+DIAS365($A$2,A132)</f>
        <v>3954</v>
      </c>
      <c r="L132" s="42">
        <f aca="true" t="shared" si="23" ref="L132:L182">IF(+(L131-M132)&lt;0,0,(L131-M132))</f>
        <v>0</v>
      </c>
      <c r="M132" s="43">
        <f aca="true" t="shared" si="24" ref="M132:M182">+$L$2*C132</f>
        <v>0</v>
      </c>
      <c r="N132" s="43">
        <f aca="true" t="shared" si="25" ref="N132:N182">+L131*$F$3%</f>
        <v>0</v>
      </c>
      <c r="O132" s="44">
        <f aca="true" t="shared" si="26" ref="O132:O182">+N132+M132</f>
        <v>0</v>
      </c>
    </row>
    <row r="133" spans="1:15" ht="12.75">
      <c r="A133" s="78">
        <v>46698</v>
      </c>
      <c r="B133" s="35">
        <f>IF(DIAS365('CALCULADORA TIS PESOS H-1'!$E$6,A133)&lt;0,0,DIAS365('CALCULADORA TIS PESOS H-1'!$E$6,A133))</f>
        <v>1582</v>
      </c>
      <c r="C133" s="36">
        <f>+HLOOKUP('CALCULADORA TIS PESOS H-1'!$E$4,Tablas!$B$1:$B$181,Flujos!J133+1,FALSE)</f>
        <v>0</v>
      </c>
      <c r="D133" s="83">
        <f t="shared" si="19"/>
        <v>0</v>
      </c>
      <c r="E133" s="37">
        <f t="shared" si="20"/>
        <v>0</v>
      </c>
      <c r="F133" s="37">
        <f>ROUND(D132*ROUND(((1+'CALCULADORA TIS PESOS H-1'!$C$14)^(1/12)-1),6),6)</f>
        <v>0</v>
      </c>
      <c r="G133" s="37">
        <f t="shared" si="21"/>
        <v>0</v>
      </c>
      <c r="H133" s="38">
        <f>IF($B133=0,0,G133/POWER(1+'CALCULADORA TIS PESOS H-1'!$F$11,Flujos!$B133/365))</f>
        <v>0</v>
      </c>
      <c r="I133" s="39">
        <f t="shared" si="18"/>
        <v>46698</v>
      </c>
      <c r="J133" s="40">
        <v>131</v>
      </c>
      <c r="K133" s="41">
        <f t="shared" si="22"/>
        <v>3985</v>
      </c>
      <c r="L133" s="42">
        <f t="shared" si="23"/>
        <v>0</v>
      </c>
      <c r="M133" s="43">
        <f t="shared" si="24"/>
        <v>0</v>
      </c>
      <c r="N133" s="43">
        <f t="shared" si="25"/>
        <v>0</v>
      </c>
      <c r="O133" s="44">
        <f t="shared" si="26"/>
        <v>0</v>
      </c>
    </row>
    <row r="134" spans="1:15" ht="12.75">
      <c r="A134" s="78">
        <v>46728</v>
      </c>
      <c r="B134" s="35">
        <f>IF(DIAS365('CALCULADORA TIS PESOS H-1'!$E$6,A134)&lt;0,0,DIAS365('CALCULADORA TIS PESOS H-1'!$E$6,A134))</f>
        <v>1612</v>
      </c>
      <c r="C134" s="36">
        <f>+HLOOKUP('CALCULADORA TIS PESOS H-1'!$E$4,Tablas!$B$1:$B$181,Flujos!J134+1,FALSE)</f>
        <v>0</v>
      </c>
      <c r="D134" s="83">
        <f t="shared" si="19"/>
        <v>0</v>
      </c>
      <c r="E134" s="37">
        <f t="shared" si="20"/>
        <v>0</v>
      </c>
      <c r="F134" s="37">
        <f>ROUND(D133*ROUND(((1+'CALCULADORA TIS PESOS H-1'!$C$14)^(1/12)-1),6),6)</f>
        <v>0</v>
      </c>
      <c r="G134" s="37">
        <f t="shared" si="21"/>
        <v>0</v>
      </c>
      <c r="H134" s="38">
        <f>IF($B134=0,0,G134/POWER(1+'CALCULADORA TIS PESOS H-1'!$F$11,Flujos!$B134/365))</f>
        <v>0</v>
      </c>
      <c r="I134" s="39">
        <f t="shared" si="18"/>
        <v>46728</v>
      </c>
      <c r="J134" s="40">
        <v>132</v>
      </c>
      <c r="K134" s="41">
        <f t="shared" si="22"/>
        <v>4015</v>
      </c>
      <c r="L134" s="42">
        <f t="shared" si="23"/>
        <v>0</v>
      </c>
      <c r="M134" s="43">
        <f t="shared" si="24"/>
        <v>0</v>
      </c>
      <c r="N134" s="43">
        <f t="shared" si="25"/>
        <v>0</v>
      </c>
      <c r="O134" s="44">
        <f t="shared" si="26"/>
        <v>0</v>
      </c>
    </row>
    <row r="135" spans="1:15" ht="12.75">
      <c r="A135" s="78">
        <v>46759</v>
      </c>
      <c r="B135" s="35">
        <f>IF(DIAS365('CALCULADORA TIS PESOS H-1'!$E$6,A135)&lt;0,0,DIAS365('CALCULADORA TIS PESOS H-1'!$E$6,A135))</f>
        <v>1643</v>
      </c>
      <c r="C135" s="36">
        <f>+HLOOKUP('CALCULADORA TIS PESOS H-1'!$E$4,Tablas!$B$1:$B$181,Flujos!J135+1,FALSE)</f>
        <v>0</v>
      </c>
      <c r="D135" s="83">
        <f t="shared" si="19"/>
        <v>0</v>
      </c>
      <c r="E135" s="37">
        <f t="shared" si="20"/>
        <v>0</v>
      </c>
      <c r="F135" s="37">
        <f>ROUND(D134*ROUND(((1+'CALCULADORA TIS PESOS H-1'!$C$14)^(1/12)-1),6),6)</f>
        <v>0</v>
      </c>
      <c r="G135" s="37">
        <f t="shared" si="21"/>
        <v>0</v>
      </c>
      <c r="H135" s="38">
        <f>IF($B135=0,0,G135/POWER(1+'CALCULADORA TIS PESOS H-1'!$F$11,Flujos!$B135/365))</f>
        <v>0</v>
      </c>
      <c r="I135" s="39">
        <f t="shared" si="18"/>
        <v>46759</v>
      </c>
      <c r="J135" s="40">
        <v>133</v>
      </c>
      <c r="K135" s="41">
        <f t="shared" si="22"/>
        <v>4046</v>
      </c>
      <c r="L135" s="42">
        <f t="shared" si="23"/>
        <v>0</v>
      </c>
      <c r="M135" s="43">
        <f t="shared" si="24"/>
        <v>0</v>
      </c>
      <c r="N135" s="43">
        <f t="shared" si="25"/>
        <v>0</v>
      </c>
      <c r="O135" s="44">
        <f t="shared" si="26"/>
        <v>0</v>
      </c>
    </row>
    <row r="136" spans="1:15" ht="12.75">
      <c r="A136" s="78">
        <v>46790</v>
      </c>
      <c r="B136" s="35">
        <f>IF(DIAS365('CALCULADORA TIS PESOS H-1'!$E$6,A136)&lt;0,0,DIAS365('CALCULADORA TIS PESOS H-1'!$E$6,A136))</f>
        <v>1674</v>
      </c>
      <c r="C136" s="36">
        <f>+HLOOKUP('CALCULADORA TIS PESOS H-1'!$E$4,Tablas!$B$1:$B$181,Flujos!J136+1,FALSE)</f>
        <v>0</v>
      </c>
      <c r="D136" s="83">
        <f t="shared" si="19"/>
        <v>0</v>
      </c>
      <c r="E136" s="37">
        <f t="shared" si="20"/>
        <v>0</v>
      </c>
      <c r="F136" s="37">
        <f>ROUND(D135*ROUND(((1+'CALCULADORA TIS PESOS H-1'!$C$14)^(1/12)-1),6),6)</f>
        <v>0</v>
      </c>
      <c r="G136" s="37">
        <f t="shared" si="21"/>
        <v>0</v>
      </c>
      <c r="H136" s="38">
        <f>IF($B136=0,0,G136/POWER(1+'CALCULADORA TIS PESOS H-1'!$F$11,Flujos!$B136/365))</f>
        <v>0</v>
      </c>
      <c r="I136" s="39">
        <f t="shared" si="18"/>
        <v>46790</v>
      </c>
      <c r="J136" s="40">
        <v>134</v>
      </c>
      <c r="K136" s="41">
        <f t="shared" si="22"/>
        <v>4077</v>
      </c>
      <c r="L136" s="42">
        <f t="shared" si="23"/>
        <v>0</v>
      </c>
      <c r="M136" s="43">
        <f t="shared" si="24"/>
        <v>0</v>
      </c>
      <c r="N136" s="43">
        <f t="shared" si="25"/>
        <v>0</v>
      </c>
      <c r="O136" s="44">
        <f t="shared" si="26"/>
        <v>0</v>
      </c>
    </row>
    <row r="137" spans="1:15" ht="12.75">
      <c r="A137" s="78">
        <v>46819</v>
      </c>
      <c r="B137" s="35">
        <f>IF(DIAS365('CALCULADORA TIS PESOS H-1'!$E$6,A137)&lt;0,0,DIAS365('CALCULADORA TIS PESOS H-1'!$E$6,A137))</f>
        <v>1702</v>
      </c>
      <c r="C137" s="36">
        <f>+HLOOKUP('CALCULADORA TIS PESOS H-1'!$E$4,Tablas!$B$1:$B$181,Flujos!J137+1,FALSE)</f>
        <v>0</v>
      </c>
      <c r="D137" s="83">
        <f t="shared" si="19"/>
        <v>0</v>
      </c>
      <c r="E137" s="37">
        <f t="shared" si="20"/>
        <v>0</v>
      </c>
      <c r="F137" s="37">
        <f>ROUND(D136*ROUND(((1+'CALCULADORA TIS PESOS H-1'!$C$14)^(1/12)-1),6),6)</f>
        <v>0</v>
      </c>
      <c r="G137" s="37">
        <f t="shared" si="21"/>
        <v>0</v>
      </c>
      <c r="H137" s="38">
        <f>IF($B137=0,0,G137/POWER(1+'CALCULADORA TIS PESOS H-1'!$F$11,Flujos!$B137/365))</f>
        <v>0</v>
      </c>
      <c r="I137" s="39">
        <f t="shared" si="18"/>
        <v>46819</v>
      </c>
      <c r="J137" s="40">
        <v>135</v>
      </c>
      <c r="K137" s="41">
        <f t="shared" si="22"/>
        <v>4105</v>
      </c>
      <c r="L137" s="42">
        <f t="shared" si="23"/>
        <v>0</v>
      </c>
      <c r="M137" s="43">
        <f t="shared" si="24"/>
        <v>0</v>
      </c>
      <c r="N137" s="43">
        <f t="shared" si="25"/>
        <v>0</v>
      </c>
      <c r="O137" s="44">
        <f t="shared" si="26"/>
        <v>0</v>
      </c>
    </row>
    <row r="138" spans="1:15" ht="12.75">
      <c r="A138" s="78">
        <v>46850</v>
      </c>
      <c r="B138" s="35">
        <f>IF(DIAS365('CALCULADORA TIS PESOS H-1'!$E$6,A138)&lt;0,0,DIAS365('CALCULADORA TIS PESOS H-1'!$E$6,A138))</f>
        <v>1733</v>
      </c>
      <c r="C138" s="36">
        <f>+HLOOKUP('CALCULADORA TIS PESOS H-1'!$E$4,Tablas!$B$1:$B$181,Flujos!J138+1,FALSE)</f>
        <v>0</v>
      </c>
      <c r="D138" s="83">
        <f t="shared" si="19"/>
        <v>0</v>
      </c>
      <c r="E138" s="37">
        <f t="shared" si="20"/>
        <v>0</v>
      </c>
      <c r="F138" s="37">
        <f>ROUND(D137*ROUND(((1+'CALCULADORA TIS PESOS H-1'!$C$14)^(1/12)-1),6),6)</f>
        <v>0</v>
      </c>
      <c r="G138" s="37">
        <f t="shared" si="21"/>
        <v>0</v>
      </c>
      <c r="H138" s="38">
        <f>IF($B138=0,0,G138/POWER(1+'CALCULADORA TIS PESOS H-1'!$F$11,Flujos!$B138/365))</f>
        <v>0</v>
      </c>
      <c r="I138" s="39">
        <f t="shared" si="18"/>
        <v>46850</v>
      </c>
      <c r="J138" s="40">
        <v>136</v>
      </c>
      <c r="K138" s="41">
        <f t="shared" si="22"/>
        <v>4136</v>
      </c>
      <c r="L138" s="42">
        <f t="shared" si="23"/>
        <v>0</v>
      </c>
      <c r="M138" s="43">
        <f t="shared" si="24"/>
        <v>0</v>
      </c>
      <c r="N138" s="43">
        <f t="shared" si="25"/>
        <v>0</v>
      </c>
      <c r="O138" s="44">
        <f t="shared" si="26"/>
        <v>0</v>
      </c>
    </row>
    <row r="139" spans="1:15" ht="12.75">
      <c r="A139" s="78">
        <v>46880</v>
      </c>
      <c r="B139" s="35">
        <f>IF(DIAS365('CALCULADORA TIS PESOS H-1'!$E$6,A139)&lt;0,0,DIAS365('CALCULADORA TIS PESOS H-1'!$E$6,A139))</f>
        <v>1763</v>
      </c>
      <c r="C139" s="36">
        <f>+HLOOKUP('CALCULADORA TIS PESOS H-1'!$E$4,Tablas!$B$1:$B$181,Flujos!J139+1,FALSE)</f>
        <v>0</v>
      </c>
      <c r="D139" s="83">
        <f t="shared" si="19"/>
        <v>0</v>
      </c>
      <c r="E139" s="37">
        <f t="shared" si="20"/>
        <v>0</v>
      </c>
      <c r="F139" s="37">
        <f>ROUND(D138*ROUND(((1+'CALCULADORA TIS PESOS H-1'!$C$14)^(1/12)-1),6),6)</f>
        <v>0</v>
      </c>
      <c r="G139" s="37">
        <f t="shared" si="21"/>
        <v>0</v>
      </c>
      <c r="H139" s="38">
        <f>IF($B139=0,0,G139/POWER(1+'CALCULADORA TIS PESOS H-1'!$F$11,Flujos!$B139/365))</f>
        <v>0</v>
      </c>
      <c r="I139" s="39">
        <f t="shared" si="18"/>
        <v>46880</v>
      </c>
      <c r="J139" s="40">
        <v>137</v>
      </c>
      <c r="K139" s="41">
        <f t="shared" si="22"/>
        <v>4166</v>
      </c>
      <c r="L139" s="42">
        <f t="shared" si="23"/>
        <v>0</v>
      </c>
      <c r="M139" s="43">
        <f t="shared" si="24"/>
        <v>0</v>
      </c>
      <c r="N139" s="43">
        <f t="shared" si="25"/>
        <v>0</v>
      </c>
      <c r="O139" s="44">
        <f t="shared" si="26"/>
        <v>0</v>
      </c>
    </row>
    <row r="140" spans="1:15" ht="12.75">
      <c r="A140" s="78">
        <v>46911</v>
      </c>
      <c r="B140" s="35">
        <f>IF(DIAS365('CALCULADORA TIS PESOS H-1'!$E$6,A140)&lt;0,0,DIAS365('CALCULADORA TIS PESOS H-1'!$E$6,A140))</f>
        <v>1794</v>
      </c>
      <c r="C140" s="36">
        <f>+HLOOKUP('CALCULADORA TIS PESOS H-1'!$E$4,Tablas!$B$1:$B$181,Flujos!J140+1,FALSE)</f>
        <v>0</v>
      </c>
      <c r="D140" s="83">
        <f t="shared" si="19"/>
        <v>0</v>
      </c>
      <c r="E140" s="37">
        <f t="shared" si="20"/>
        <v>0</v>
      </c>
      <c r="F140" s="37">
        <f>ROUND(D139*ROUND(((1+'CALCULADORA TIS PESOS H-1'!$C$14)^(1/12)-1),6),6)</f>
        <v>0</v>
      </c>
      <c r="G140" s="37">
        <f t="shared" si="21"/>
        <v>0</v>
      </c>
      <c r="H140" s="38">
        <f>IF($B140=0,0,G140/POWER(1+'CALCULADORA TIS PESOS H-1'!$F$11,Flujos!$B140/365))</f>
        <v>0</v>
      </c>
      <c r="I140" s="39">
        <f t="shared" si="18"/>
        <v>46911</v>
      </c>
      <c r="J140" s="40">
        <v>138</v>
      </c>
      <c r="K140" s="41">
        <f t="shared" si="22"/>
        <v>4197</v>
      </c>
      <c r="L140" s="42">
        <f t="shared" si="23"/>
        <v>0</v>
      </c>
      <c r="M140" s="43">
        <f t="shared" si="24"/>
        <v>0</v>
      </c>
      <c r="N140" s="43">
        <f t="shared" si="25"/>
        <v>0</v>
      </c>
      <c r="O140" s="44">
        <f t="shared" si="26"/>
        <v>0</v>
      </c>
    </row>
    <row r="141" spans="1:15" ht="12.75">
      <c r="A141" s="78">
        <v>46941</v>
      </c>
      <c r="B141" s="35">
        <f>IF(DIAS365('CALCULADORA TIS PESOS H-1'!$E$6,A141)&lt;0,0,DIAS365('CALCULADORA TIS PESOS H-1'!$E$6,A141))</f>
        <v>1824</v>
      </c>
      <c r="C141" s="36">
        <f>+HLOOKUP('CALCULADORA TIS PESOS H-1'!$E$4,Tablas!$B$1:$B$181,Flujos!J141+1,FALSE)</f>
        <v>0</v>
      </c>
      <c r="D141" s="83">
        <f t="shared" si="19"/>
        <v>0</v>
      </c>
      <c r="E141" s="37">
        <f t="shared" si="20"/>
        <v>0</v>
      </c>
      <c r="F141" s="37">
        <f>ROUND(D140*ROUND(((1+'CALCULADORA TIS PESOS H-1'!$C$14)^(1/12)-1),6),6)</f>
        <v>0</v>
      </c>
      <c r="G141" s="37">
        <f t="shared" si="21"/>
        <v>0</v>
      </c>
      <c r="H141" s="38">
        <f>IF($B141=0,0,G141/POWER(1+'CALCULADORA TIS PESOS H-1'!$F$11,Flujos!$B141/365))</f>
        <v>0</v>
      </c>
      <c r="I141" s="39">
        <f t="shared" si="18"/>
        <v>46941</v>
      </c>
      <c r="J141" s="40">
        <v>139</v>
      </c>
      <c r="K141" s="41">
        <f t="shared" si="22"/>
        <v>4227</v>
      </c>
      <c r="L141" s="42">
        <f t="shared" si="23"/>
        <v>0</v>
      </c>
      <c r="M141" s="43">
        <f t="shared" si="24"/>
        <v>0</v>
      </c>
      <c r="N141" s="43">
        <f t="shared" si="25"/>
        <v>0</v>
      </c>
      <c r="O141" s="44">
        <f t="shared" si="26"/>
        <v>0</v>
      </c>
    </row>
    <row r="142" spans="1:15" ht="12.75">
      <c r="A142" s="78">
        <v>46972</v>
      </c>
      <c r="B142" s="35">
        <f>IF(DIAS365('CALCULADORA TIS PESOS H-1'!$E$6,A142)&lt;0,0,DIAS365('CALCULADORA TIS PESOS H-1'!$E$6,A142))</f>
        <v>1855</v>
      </c>
      <c r="C142" s="36">
        <f>+HLOOKUP('CALCULADORA TIS PESOS H-1'!$E$4,Tablas!$B$1:$B$181,Flujos!J142+1,FALSE)</f>
        <v>0</v>
      </c>
      <c r="D142" s="83">
        <f t="shared" si="19"/>
        <v>0</v>
      </c>
      <c r="E142" s="37">
        <f t="shared" si="20"/>
        <v>0</v>
      </c>
      <c r="F142" s="37">
        <f>ROUND(D141*ROUND(((1+'CALCULADORA TIS PESOS H-1'!$C$14)^(1/12)-1),6),6)</f>
        <v>0</v>
      </c>
      <c r="G142" s="37">
        <f t="shared" si="21"/>
        <v>0</v>
      </c>
      <c r="H142" s="38">
        <f>IF($B142=0,0,G142/POWER(1+'CALCULADORA TIS PESOS H-1'!$F$11,Flujos!$B142/365))</f>
        <v>0</v>
      </c>
      <c r="I142" s="39">
        <f t="shared" si="18"/>
        <v>46972</v>
      </c>
      <c r="J142" s="40">
        <v>140</v>
      </c>
      <c r="K142" s="41">
        <f t="shared" si="22"/>
        <v>4258</v>
      </c>
      <c r="L142" s="42">
        <f t="shared" si="23"/>
        <v>0</v>
      </c>
      <c r="M142" s="43">
        <f t="shared" si="24"/>
        <v>0</v>
      </c>
      <c r="N142" s="43">
        <f t="shared" si="25"/>
        <v>0</v>
      </c>
      <c r="O142" s="44">
        <f t="shared" si="26"/>
        <v>0</v>
      </c>
    </row>
    <row r="143" spans="1:15" ht="12.75">
      <c r="A143" s="78">
        <v>47003</v>
      </c>
      <c r="B143" s="35">
        <f>IF(DIAS365('CALCULADORA TIS PESOS H-1'!$E$6,A143)&lt;0,0,DIAS365('CALCULADORA TIS PESOS H-1'!$E$6,A143))</f>
        <v>1886</v>
      </c>
      <c r="C143" s="36">
        <f>+HLOOKUP('CALCULADORA TIS PESOS H-1'!$E$4,Tablas!$B$1:$B$181,Flujos!J143+1,FALSE)</f>
        <v>0</v>
      </c>
      <c r="D143" s="83">
        <f t="shared" si="19"/>
        <v>0</v>
      </c>
      <c r="E143" s="37">
        <f t="shared" si="20"/>
        <v>0</v>
      </c>
      <c r="F143" s="37">
        <f>ROUND(D142*ROUND(((1+'CALCULADORA TIS PESOS H-1'!$C$14)^(1/12)-1),6),6)</f>
        <v>0</v>
      </c>
      <c r="G143" s="37">
        <f t="shared" si="21"/>
        <v>0</v>
      </c>
      <c r="H143" s="38">
        <f>IF($B143=0,0,G143/POWER(1+'CALCULADORA TIS PESOS H-1'!$F$11,Flujos!$B143/365))</f>
        <v>0</v>
      </c>
      <c r="I143" s="39">
        <f t="shared" si="18"/>
        <v>47003</v>
      </c>
      <c r="J143" s="40">
        <v>141</v>
      </c>
      <c r="K143" s="41">
        <f t="shared" si="22"/>
        <v>4289</v>
      </c>
      <c r="L143" s="42">
        <f t="shared" si="23"/>
        <v>0</v>
      </c>
      <c r="M143" s="43">
        <f t="shared" si="24"/>
        <v>0</v>
      </c>
      <c r="N143" s="43">
        <f t="shared" si="25"/>
        <v>0</v>
      </c>
      <c r="O143" s="44">
        <f t="shared" si="26"/>
        <v>0</v>
      </c>
    </row>
    <row r="144" spans="1:15" ht="12.75">
      <c r="A144" s="78">
        <v>47033</v>
      </c>
      <c r="B144" s="35">
        <f>IF(DIAS365('CALCULADORA TIS PESOS H-1'!$E$6,A144)&lt;0,0,DIAS365('CALCULADORA TIS PESOS H-1'!$E$6,A144))</f>
        <v>1916</v>
      </c>
      <c r="C144" s="36">
        <f>+HLOOKUP('CALCULADORA TIS PESOS H-1'!$E$4,Tablas!$B$1:$B$181,Flujos!J144+1,FALSE)</f>
        <v>0</v>
      </c>
      <c r="D144" s="83">
        <f t="shared" si="19"/>
        <v>0</v>
      </c>
      <c r="E144" s="37">
        <f t="shared" si="20"/>
        <v>0</v>
      </c>
      <c r="F144" s="37">
        <f>ROUND(D143*ROUND(((1+'CALCULADORA TIS PESOS H-1'!$C$14)^(1/12)-1),6),6)</f>
        <v>0</v>
      </c>
      <c r="G144" s="37">
        <f t="shared" si="21"/>
        <v>0</v>
      </c>
      <c r="H144" s="38">
        <f>IF($B144=0,0,G144/POWER(1+'CALCULADORA TIS PESOS H-1'!$F$11,Flujos!$B144/365))</f>
        <v>0</v>
      </c>
      <c r="I144" s="39">
        <f t="shared" si="18"/>
        <v>47033</v>
      </c>
      <c r="J144" s="40">
        <v>142</v>
      </c>
      <c r="K144" s="41">
        <f t="shared" si="22"/>
        <v>4319</v>
      </c>
      <c r="L144" s="42">
        <f t="shared" si="23"/>
        <v>0</v>
      </c>
      <c r="M144" s="43">
        <f t="shared" si="24"/>
        <v>0</v>
      </c>
      <c r="N144" s="43">
        <f t="shared" si="25"/>
        <v>0</v>
      </c>
      <c r="O144" s="44">
        <f t="shared" si="26"/>
        <v>0</v>
      </c>
    </row>
    <row r="145" spans="1:15" ht="12.75">
      <c r="A145" s="78">
        <v>47064</v>
      </c>
      <c r="B145" s="35">
        <f>IF(DIAS365('CALCULADORA TIS PESOS H-1'!$E$6,A145)&lt;0,0,DIAS365('CALCULADORA TIS PESOS H-1'!$E$6,A145))</f>
        <v>1947</v>
      </c>
      <c r="C145" s="36">
        <f>+HLOOKUP('CALCULADORA TIS PESOS H-1'!$E$4,Tablas!$B$1:$B$181,Flujos!J145+1,FALSE)</f>
        <v>0</v>
      </c>
      <c r="D145" s="83">
        <f t="shared" si="19"/>
        <v>0</v>
      </c>
      <c r="E145" s="37">
        <f t="shared" si="20"/>
        <v>0</v>
      </c>
      <c r="F145" s="37">
        <f>ROUND(D144*ROUND(((1+'CALCULADORA TIS PESOS H-1'!$C$14)^(1/12)-1),6),6)</f>
        <v>0</v>
      </c>
      <c r="G145" s="37">
        <f t="shared" si="21"/>
        <v>0</v>
      </c>
      <c r="H145" s="38">
        <f>IF($B145=0,0,G145/POWER(1+'CALCULADORA TIS PESOS H-1'!$F$11,Flujos!$B145/365))</f>
        <v>0</v>
      </c>
      <c r="I145" s="39">
        <f t="shared" si="18"/>
        <v>47064</v>
      </c>
      <c r="J145" s="40">
        <v>143</v>
      </c>
      <c r="K145" s="41">
        <f t="shared" si="22"/>
        <v>4350</v>
      </c>
      <c r="L145" s="42">
        <f t="shared" si="23"/>
        <v>0</v>
      </c>
      <c r="M145" s="43">
        <f t="shared" si="24"/>
        <v>0</v>
      </c>
      <c r="N145" s="43">
        <f t="shared" si="25"/>
        <v>0</v>
      </c>
      <c r="O145" s="44">
        <f t="shared" si="26"/>
        <v>0</v>
      </c>
    </row>
    <row r="146" spans="1:15" ht="12.75">
      <c r="A146" s="78">
        <v>47094</v>
      </c>
      <c r="B146" s="35">
        <f>IF(DIAS365('CALCULADORA TIS PESOS H-1'!$E$6,A146)&lt;0,0,DIAS365('CALCULADORA TIS PESOS H-1'!$E$6,A146))</f>
        <v>1977</v>
      </c>
      <c r="C146" s="36">
        <f>+HLOOKUP('CALCULADORA TIS PESOS H-1'!$E$4,Tablas!$B$1:$B$181,Flujos!J146+1,FALSE)</f>
        <v>0</v>
      </c>
      <c r="D146" s="83">
        <f t="shared" si="19"/>
        <v>0</v>
      </c>
      <c r="E146" s="37">
        <f t="shared" si="20"/>
        <v>0</v>
      </c>
      <c r="F146" s="37">
        <f>ROUND(D145*ROUND(((1+'CALCULADORA TIS PESOS H-1'!$C$14)^(1/12)-1),6),6)</f>
        <v>0</v>
      </c>
      <c r="G146" s="37">
        <f t="shared" si="21"/>
        <v>0</v>
      </c>
      <c r="H146" s="38">
        <f>IF($B146=0,0,G146/POWER(1+'CALCULADORA TIS PESOS H-1'!$F$11,Flujos!$B146/365))</f>
        <v>0</v>
      </c>
      <c r="I146" s="39">
        <f t="shared" si="18"/>
        <v>47094</v>
      </c>
      <c r="J146" s="40">
        <v>144</v>
      </c>
      <c r="K146" s="41">
        <f t="shared" si="22"/>
        <v>4380</v>
      </c>
      <c r="L146" s="42">
        <f t="shared" si="23"/>
        <v>0</v>
      </c>
      <c r="M146" s="43">
        <f t="shared" si="24"/>
        <v>0</v>
      </c>
      <c r="N146" s="43">
        <f t="shared" si="25"/>
        <v>0</v>
      </c>
      <c r="O146" s="44">
        <f t="shared" si="26"/>
        <v>0</v>
      </c>
    </row>
    <row r="147" spans="1:15" ht="12.75">
      <c r="A147" s="78">
        <v>47125</v>
      </c>
      <c r="B147" s="35">
        <f>IF(DIAS365('CALCULADORA TIS PESOS H-1'!$E$6,A147)&lt;0,0,DIAS365('CALCULADORA TIS PESOS H-1'!$E$6,A147))</f>
        <v>2008</v>
      </c>
      <c r="C147" s="36">
        <f>+HLOOKUP('CALCULADORA TIS PESOS H-1'!$E$4,Tablas!$B$1:$B$181,Flujos!J147+1,FALSE)</f>
        <v>0</v>
      </c>
      <c r="D147" s="83">
        <f t="shared" si="19"/>
        <v>0</v>
      </c>
      <c r="E147" s="37">
        <f t="shared" si="20"/>
        <v>0</v>
      </c>
      <c r="F147" s="37">
        <f>ROUND(D146*ROUND(((1+'CALCULADORA TIS PESOS H-1'!$C$14)^(1/12)-1),6),6)</f>
        <v>0</v>
      </c>
      <c r="G147" s="37">
        <f t="shared" si="21"/>
        <v>0</v>
      </c>
      <c r="H147" s="38">
        <f>IF($B147=0,0,G147/POWER(1+'CALCULADORA TIS PESOS H-1'!$F$11,Flujos!$B147/365))</f>
        <v>0</v>
      </c>
      <c r="I147" s="39">
        <f t="shared" si="18"/>
        <v>47125</v>
      </c>
      <c r="J147" s="40">
        <v>145</v>
      </c>
      <c r="K147" s="41">
        <f t="shared" si="22"/>
        <v>4411</v>
      </c>
      <c r="L147" s="42">
        <f t="shared" si="23"/>
        <v>0</v>
      </c>
      <c r="M147" s="43">
        <f t="shared" si="24"/>
        <v>0</v>
      </c>
      <c r="N147" s="43">
        <f t="shared" si="25"/>
        <v>0</v>
      </c>
      <c r="O147" s="44">
        <f t="shared" si="26"/>
        <v>0</v>
      </c>
    </row>
    <row r="148" spans="1:15" ht="12.75">
      <c r="A148" s="78">
        <v>47156</v>
      </c>
      <c r="B148" s="35">
        <f>IF(DIAS365('CALCULADORA TIS PESOS H-1'!$E$6,A148)&lt;0,0,DIAS365('CALCULADORA TIS PESOS H-1'!$E$6,A148))</f>
        <v>2039</v>
      </c>
      <c r="C148" s="36">
        <f>+HLOOKUP('CALCULADORA TIS PESOS H-1'!$E$4,Tablas!$B$1:$B$181,Flujos!J148+1,FALSE)</f>
        <v>0</v>
      </c>
      <c r="D148" s="83">
        <f t="shared" si="19"/>
        <v>0</v>
      </c>
      <c r="E148" s="37">
        <f t="shared" si="20"/>
        <v>0</v>
      </c>
      <c r="F148" s="37">
        <f>ROUND(D147*ROUND(((1+'CALCULADORA TIS PESOS H-1'!$C$14)^(1/12)-1),6),6)</f>
        <v>0</v>
      </c>
      <c r="G148" s="37">
        <f t="shared" si="21"/>
        <v>0</v>
      </c>
      <c r="H148" s="38">
        <f>IF($B148=0,0,G148/POWER(1+'CALCULADORA TIS PESOS H-1'!$F$11,Flujos!$B148/365))</f>
        <v>0</v>
      </c>
      <c r="I148" s="39">
        <f t="shared" si="18"/>
        <v>47156</v>
      </c>
      <c r="J148" s="40">
        <v>146</v>
      </c>
      <c r="K148" s="41">
        <f t="shared" si="22"/>
        <v>4442</v>
      </c>
      <c r="L148" s="42">
        <f t="shared" si="23"/>
        <v>0</v>
      </c>
      <c r="M148" s="43">
        <f t="shared" si="24"/>
        <v>0</v>
      </c>
      <c r="N148" s="43">
        <f t="shared" si="25"/>
        <v>0</v>
      </c>
      <c r="O148" s="44">
        <f t="shared" si="26"/>
        <v>0</v>
      </c>
    </row>
    <row r="149" spans="1:15" ht="12.75">
      <c r="A149" s="78">
        <v>47184</v>
      </c>
      <c r="B149" s="35">
        <f>IF(DIAS365('CALCULADORA TIS PESOS H-1'!$E$6,A149)&lt;0,0,DIAS365('CALCULADORA TIS PESOS H-1'!$E$6,A149))</f>
        <v>2067</v>
      </c>
      <c r="C149" s="36">
        <f>+HLOOKUP('CALCULADORA TIS PESOS H-1'!$E$4,Tablas!$B$1:$B$181,Flujos!J149+1,FALSE)</f>
        <v>0</v>
      </c>
      <c r="D149" s="83">
        <f t="shared" si="19"/>
        <v>0</v>
      </c>
      <c r="E149" s="37">
        <f t="shared" si="20"/>
        <v>0</v>
      </c>
      <c r="F149" s="37">
        <f>ROUND(D148*ROUND(((1+'CALCULADORA TIS PESOS H-1'!$C$14)^(1/12)-1),6),6)</f>
        <v>0</v>
      </c>
      <c r="G149" s="37">
        <f t="shared" si="21"/>
        <v>0</v>
      </c>
      <c r="H149" s="38">
        <f>IF($B149=0,0,G149/POWER(1+'CALCULADORA TIS PESOS H-1'!$F$11,Flujos!$B149/365))</f>
        <v>0</v>
      </c>
      <c r="I149" s="39">
        <f t="shared" si="18"/>
        <v>47184</v>
      </c>
      <c r="J149" s="40">
        <v>147</v>
      </c>
      <c r="K149" s="41">
        <f t="shared" si="22"/>
        <v>4470</v>
      </c>
      <c r="L149" s="42">
        <f t="shared" si="23"/>
        <v>0</v>
      </c>
      <c r="M149" s="43">
        <f t="shared" si="24"/>
        <v>0</v>
      </c>
      <c r="N149" s="43">
        <f t="shared" si="25"/>
        <v>0</v>
      </c>
      <c r="O149" s="44">
        <f t="shared" si="26"/>
        <v>0</v>
      </c>
    </row>
    <row r="150" spans="1:15" ht="12.75">
      <c r="A150" s="78">
        <v>47215</v>
      </c>
      <c r="B150" s="35">
        <f>IF(DIAS365('CALCULADORA TIS PESOS H-1'!$E$6,A150)&lt;0,0,DIAS365('CALCULADORA TIS PESOS H-1'!$E$6,A150))</f>
        <v>2098</v>
      </c>
      <c r="C150" s="36">
        <f>+HLOOKUP('CALCULADORA TIS PESOS H-1'!$E$4,Tablas!$B$1:$B$181,Flujos!J150+1,FALSE)</f>
        <v>0</v>
      </c>
      <c r="D150" s="83">
        <f t="shared" si="19"/>
        <v>0</v>
      </c>
      <c r="E150" s="37">
        <f t="shared" si="20"/>
        <v>0</v>
      </c>
      <c r="F150" s="37">
        <f>ROUND(D149*ROUND(((1+'CALCULADORA TIS PESOS H-1'!$C$14)^(1/12)-1),6),6)</f>
        <v>0</v>
      </c>
      <c r="G150" s="37">
        <f t="shared" si="21"/>
        <v>0</v>
      </c>
      <c r="H150" s="38">
        <f>IF($B150=0,0,G150/POWER(1+'CALCULADORA TIS PESOS H-1'!$F$11,Flujos!$B150/365))</f>
        <v>0</v>
      </c>
      <c r="I150" s="39">
        <f t="shared" si="18"/>
        <v>47215</v>
      </c>
      <c r="J150" s="40">
        <v>148</v>
      </c>
      <c r="K150" s="41">
        <f t="shared" si="22"/>
        <v>4501</v>
      </c>
      <c r="L150" s="42">
        <f t="shared" si="23"/>
        <v>0</v>
      </c>
      <c r="M150" s="43">
        <f t="shared" si="24"/>
        <v>0</v>
      </c>
      <c r="N150" s="43">
        <f t="shared" si="25"/>
        <v>0</v>
      </c>
      <c r="O150" s="44">
        <f t="shared" si="26"/>
        <v>0</v>
      </c>
    </row>
    <row r="151" spans="1:15" ht="12.75">
      <c r="A151" s="78">
        <v>47245</v>
      </c>
      <c r="B151" s="35">
        <f>IF(DIAS365('CALCULADORA TIS PESOS H-1'!$E$6,A151)&lt;0,0,DIAS365('CALCULADORA TIS PESOS H-1'!$E$6,A151))</f>
        <v>2128</v>
      </c>
      <c r="C151" s="36">
        <f>+HLOOKUP('CALCULADORA TIS PESOS H-1'!$E$4,Tablas!$B$1:$B$181,Flujos!J151+1,FALSE)</f>
        <v>0</v>
      </c>
      <c r="D151" s="83">
        <f t="shared" si="19"/>
        <v>0</v>
      </c>
      <c r="E151" s="37">
        <f t="shared" si="20"/>
        <v>0</v>
      </c>
      <c r="F151" s="37">
        <f>ROUND(D150*ROUND(((1+'CALCULADORA TIS PESOS H-1'!$C$14)^(1/12)-1),6),6)</f>
        <v>0</v>
      </c>
      <c r="G151" s="37">
        <f t="shared" si="21"/>
        <v>0</v>
      </c>
      <c r="H151" s="38">
        <f>IF($B151=0,0,G151/POWER(1+'CALCULADORA TIS PESOS H-1'!$F$11,Flujos!$B151/365))</f>
        <v>0</v>
      </c>
      <c r="I151" s="39">
        <f t="shared" si="18"/>
        <v>47245</v>
      </c>
      <c r="J151" s="40">
        <v>149</v>
      </c>
      <c r="K151" s="41">
        <f t="shared" si="22"/>
        <v>4531</v>
      </c>
      <c r="L151" s="42">
        <f t="shared" si="23"/>
        <v>0</v>
      </c>
      <c r="M151" s="43">
        <f t="shared" si="24"/>
        <v>0</v>
      </c>
      <c r="N151" s="43">
        <f t="shared" si="25"/>
        <v>0</v>
      </c>
      <c r="O151" s="44">
        <f t="shared" si="26"/>
        <v>0</v>
      </c>
    </row>
    <row r="152" spans="1:15" ht="12.75">
      <c r="A152" s="78">
        <v>47276</v>
      </c>
      <c r="B152" s="35">
        <f>IF(DIAS365('CALCULADORA TIS PESOS H-1'!$E$6,A152)&lt;0,0,DIAS365('CALCULADORA TIS PESOS H-1'!$E$6,A152))</f>
        <v>2159</v>
      </c>
      <c r="C152" s="36">
        <f>+HLOOKUP('CALCULADORA TIS PESOS H-1'!$E$4,Tablas!$B$1:$B$181,Flujos!J152+1,FALSE)</f>
        <v>0</v>
      </c>
      <c r="D152" s="83">
        <f t="shared" si="19"/>
        <v>0</v>
      </c>
      <c r="E152" s="37">
        <f t="shared" si="20"/>
        <v>0</v>
      </c>
      <c r="F152" s="37">
        <f>ROUND(D151*ROUND(((1+'CALCULADORA TIS PESOS H-1'!$C$14)^(1/12)-1),6),6)</f>
        <v>0</v>
      </c>
      <c r="G152" s="37">
        <f t="shared" si="21"/>
        <v>0</v>
      </c>
      <c r="H152" s="38">
        <f>IF($B152=0,0,G152/POWER(1+'CALCULADORA TIS PESOS H-1'!$F$11,Flujos!$B152/365))</f>
        <v>0</v>
      </c>
      <c r="I152" s="39">
        <f t="shared" si="18"/>
        <v>47276</v>
      </c>
      <c r="J152" s="40">
        <v>150</v>
      </c>
      <c r="K152" s="41">
        <f t="shared" si="22"/>
        <v>4562</v>
      </c>
      <c r="L152" s="42">
        <f t="shared" si="23"/>
        <v>0</v>
      </c>
      <c r="M152" s="43">
        <f t="shared" si="24"/>
        <v>0</v>
      </c>
      <c r="N152" s="43">
        <f t="shared" si="25"/>
        <v>0</v>
      </c>
      <c r="O152" s="44">
        <f t="shared" si="26"/>
        <v>0</v>
      </c>
    </row>
    <row r="153" spans="1:15" ht="12.75">
      <c r="A153" s="78">
        <v>47306</v>
      </c>
      <c r="B153" s="35">
        <f>IF(DIAS365('CALCULADORA TIS PESOS H-1'!$E$6,A153)&lt;0,0,DIAS365('CALCULADORA TIS PESOS H-1'!$E$6,A153))</f>
        <v>2189</v>
      </c>
      <c r="C153" s="36">
        <f>+HLOOKUP('CALCULADORA TIS PESOS H-1'!$E$4,Tablas!$B$1:$B$181,Flujos!J153+1,FALSE)</f>
        <v>0</v>
      </c>
      <c r="D153" s="83">
        <f t="shared" si="19"/>
        <v>0</v>
      </c>
      <c r="E153" s="37">
        <f t="shared" si="20"/>
        <v>0</v>
      </c>
      <c r="F153" s="37">
        <f>ROUND(D152*ROUND(((1+'CALCULADORA TIS PESOS H-1'!$C$14)^(1/12)-1),6),6)</f>
        <v>0</v>
      </c>
      <c r="G153" s="37">
        <f t="shared" si="21"/>
        <v>0</v>
      </c>
      <c r="H153" s="38">
        <f>IF($B153=0,0,G153/POWER(1+'CALCULADORA TIS PESOS H-1'!$F$11,Flujos!$B153/365))</f>
        <v>0</v>
      </c>
      <c r="I153" s="39">
        <f t="shared" si="18"/>
        <v>47306</v>
      </c>
      <c r="J153" s="40">
        <v>151</v>
      </c>
      <c r="K153" s="41">
        <f t="shared" si="22"/>
        <v>4592</v>
      </c>
      <c r="L153" s="42">
        <f t="shared" si="23"/>
        <v>0</v>
      </c>
      <c r="M153" s="43">
        <f t="shared" si="24"/>
        <v>0</v>
      </c>
      <c r="N153" s="43">
        <f t="shared" si="25"/>
        <v>0</v>
      </c>
      <c r="O153" s="44">
        <f t="shared" si="26"/>
        <v>0</v>
      </c>
    </row>
    <row r="154" spans="1:15" ht="12.75">
      <c r="A154" s="78">
        <v>47337</v>
      </c>
      <c r="B154" s="35">
        <f>IF(DIAS365('CALCULADORA TIS PESOS H-1'!$E$6,A154)&lt;0,0,DIAS365('CALCULADORA TIS PESOS H-1'!$E$6,A154))</f>
        <v>2220</v>
      </c>
      <c r="C154" s="36">
        <f>+HLOOKUP('CALCULADORA TIS PESOS H-1'!$E$4,Tablas!$B$1:$B$181,Flujos!J154+1,FALSE)</f>
        <v>0</v>
      </c>
      <c r="D154" s="83">
        <f t="shared" si="19"/>
        <v>0</v>
      </c>
      <c r="E154" s="37">
        <f t="shared" si="20"/>
        <v>0</v>
      </c>
      <c r="F154" s="37">
        <f>ROUND(D153*ROUND(((1+'CALCULADORA TIS PESOS H-1'!$C$14)^(1/12)-1),6),6)</f>
        <v>0</v>
      </c>
      <c r="G154" s="37">
        <f t="shared" si="21"/>
        <v>0</v>
      </c>
      <c r="H154" s="38">
        <f>IF($B154=0,0,G154/POWER(1+'CALCULADORA TIS PESOS H-1'!$F$11,Flujos!$B154/365))</f>
        <v>0</v>
      </c>
      <c r="I154" s="39">
        <f t="shared" si="18"/>
        <v>47337</v>
      </c>
      <c r="J154" s="40">
        <v>152</v>
      </c>
      <c r="K154" s="41">
        <f t="shared" si="22"/>
        <v>4623</v>
      </c>
      <c r="L154" s="42">
        <f t="shared" si="23"/>
        <v>0</v>
      </c>
      <c r="M154" s="43">
        <f t="shared" si="24"/>
        <v>0</v>
      </c>
      <c r="N154" s="43">
        <f t="shared" si="25"/>
        <v>0</v>
      </c>
      <c r="O154" s="44">
        <f t="shared" si="26"/>
        <v>0</v>
      </c>
    </row>
    <row r="155" spans="1:15" ht="12.75">
      <c r="A155" s="78">
        <v>47368</v>
      </c>
      <c r="B155" s="35">
        <f>IF(DIAS365('CALCULADORA TIS PESOS H-1'!$E$6,A155)&lt;0,0,DIAS365('CALCULADORA TIS PESOS H-1'!$E$6,A155))</f>
        <v>2251</v>
      </c>
      <c r="C155" s="36">
        <f>+HLOOKUP('CALCULADORA TIS PESOS H-1'!$E$4,Tablas!$B$1:$B$181,Flujos!J155+1,FALSE)</f>
        <v>0</v>
      </c>
      <c r="D155" s="83">
        <f t="shared" si="19"/>
        <v>0</v>
      </c>
      <c r="E155" s="37">
        <f t="shared" si="20"/>
        <v>0</v>
      </c>
      <c r="F155" s="37">
        <f>ROUND(D154*ROUND(((1+'CALCULADORA TIS PESOS H-1'!$C$14)^(1/12)-1),6),6)</f>
        <v>0</v>
      </c>
      <c r="G155" s="37">
        <f t="shared" si="21"/>
        <v>0</v>
      </c>
      <c r="H155" s="38">
        <f>IF($B155=0,0,G155/POWER(1+'CALCULADORA TIS PESOS H-1'!$F$11,Flujos!$B155/365))</f>
        <v>0</v>
      </c>
      <c r="I155" s="39">
        <f t="shared" si="18"/>
        <v>47368</v>
      </c>
      <c r="J155" s="40">
        <v>153</v>
      </c>
      <c r="K155" s="41">
        <f t="shared" si="22"/>
        <v>4654</v>
      </c>
      <c r="L155" s="42">
        <f t="shared" si="23"/>
        <v>0</v>
      </c>
      <c r="M155" s="43">
        <f t="shared" si="24"/>
        <v>0</v>
      </c>
      <c r="N155" s="43">
        <f t="shared" si="25"/>
        <v>0</v>
      </c>
      <c r="O155" s="44">
        <f t="shared" si="26"/>
        <v>0</v>
      </c>
    </row>
    <row r="156" spans="1:15" ht="12.75">
      <c r="A156" s="78">
        <v>47398</v>
      </c>
      <c r="B156" s="35">
        <f>IF(DIAS365('CALCULADORA TIS PESOS H-1'!$E$6,A156)&lt;0,0,DIAS365('CALCULADORA TIS PESOS H-1'!$E$6,A156))</f>
        <v>2281</v>
      </c>
      <c r="C156" s="36">
        <f>+HLOOKUP('CALCULADORA TIS PESOS H-1'!$E$4,Tablas!$B$1:$B$181,Flujos!J156+1,FALSE)</f>
        <v>0</v>
      </c>
      <c r="D156" s="83">
        <f t="shared" si="19"/>
        <v>0</v>
      </c>
      <c r="E156" s="37">
        <f t="shared" si="20"/>
        <v>0</v>
      </c>
      <c r="F156" s="37">
        <f>ROUND(D155*ROUND(((1+'CALCULADORA TIS PESOS H-1'!$C$14)^(1/12)-1),6),6)</f>
        <v>0</v>
      </c>
      <c r="G156" s="37">
        <f t="shared" si="21"/>
        <v>0</v>
      </c>
      <c r="H156" s="38">
        <f>IF($B156=0,0,G156/POWER(1+'CALCULADORA TIS PESOS H-1'!$F$11,Flujos!$B156/365))</f>
        <v>0</v>
      </c>
      <c r="I156" s="39">
        <f t="shared" si="18"/>
        <v>47398</v>
      </c>
      <c r="J156" s="40">
        <v>154</v>
      </c>
      <c r="K156" s="41">
        <f t="shared" si="22"/>
        <v>4684</v>
      </c>
      <c r="L156" s="42">
        <f t="shared" si="23"/>
        <v>0</v>
      </c>
      <c r="M156" s="43">
        <f t="shared" si="24"/>
        <v>0</v>
      </c>
      <c r="N156" s="43">
        <f t="shared" si="25"/>
        <v>0</v>
      </c>
      <c r="O156" s="44">
        <f t="shared" si="26"/>
        <v>0</v>
      </c>
    </row>
    <row r="157" spans="1:15" ht="12.75">
      <c r="A157" s="78">
        <v>47429</v>
      </c>
      <c r="B157" s="35">
        <f>IF(DIAS365('CALCULADORA TIS PESOS H-1'!$E$6,A157)&lt;0,0,DIAS365('CALCULADORA TIS PESOS H-1'!$E$6,A157))</f>
        <v>2312</v>
      </c>
      <c r="C157" s="36">
        <f>+HLOOKUP('CALCULADORA TIS PESOS H-1'!$E$4,Tablas!$B$1:$B$181,Flujos!J157+1,FALSE)</f>
        <v>0</v>
      </c>
      <c r="D157" s="83">
        <f t="shared" si="19"/>
        <v>0</v>
      </c>
      <c r="E157" s="37">
        <f t="shared" si="20"/>
        <v>0</v>
      </c>
      <c r="F157" s="37">
        <f>ROUND(D156*ROUND(((1+'CALCULADORA TIS PESOS H-1'!$C$14)^(1/12)-1),6),6)</f>
        <v>0</v>
      </c>
      <c r="G157" s="37">
        <f t="shared" si="21"/>
        <v>0</v>
      </c>
      <c r="H157" s="38">
        <f>IF($B157=0,0,G157/POWER(1+'CALCULADORA TIS PESOS H-1'!$F$11,Flujos!$B157/365))</f>
        <v>0</v>
      </c>
      <c r="I157" s="39">
        <f t="shared" si="18"/>
        <v>47429</v>
      </c>
      <c r="J157" s="40">
        <v>155</v>
      </c>
      <c r="K157" s="41">
        <f t="shared" si="22"/>
        <v>4715</v>
      </c>
      <c r="L157" s="42">
        <f t="shared" si="23"/>
        <v>0</v>
      </c>
      <c r="M157" s="43">
        <f t="shared" si="24"/>
        <v>0</v>
      </c>
      <c r="N157" s="43">
        <f t="shared" si="25"/>
        <v>0</v>
      </c>
      <c r="O157" s="44">
        <f t="shared" si="26"/>
        <v>0</v>
      </c>
    </row>
    <row r="158" spans="1:15" ht="12.75">
      <c r="A158" s="78">
        <v>47459</v>
      </c>
      <c r="B158" s="35">
        <f>IF(DIAS365('CALCULADORA TIS PESOS H-1'!$E$6,A158)&lt;0,0,DIAS365('CALCULADORA TIS PESOS H-1'!$E$6,A158))</f>
        <v>2342</v>
      </c>
      <c r="C158" s="36">
        <f>+HLOOKUP('CALCULADORA TIS PESOS H-1'!$E$4,Tablas!$B$1:$B$181,Flujos!J158+1,FALSE)</f>
        <v>0</v>
      </c>
      <c r="D158" s="83">
        <f t="shared" si="19"/>
        <v>0</v>
      </c>
      <c r="E158" s="37">
        <f t="shared" si="20"/>
        <v>0</v>
      </c>
      <c r="F158" s="37">
        <f>ROUND(D157*ROUND(((1+'CALCULADORA TIS PESOS H-1'!$C$14)^(1/12)-1),6),6)</f>
        <v>0</v>
      </c>
      <c r="G158" s="37">
        <f t="shared" si="21"/>
        <v>0</v>
      </c>
      <c r="H158" s="38">
        <f>IF($B158=0,0,G158/POWER(1+'CALCULADORA TIS PESOS H-1'!$F$11,Flujos!$B158/365))</f>
        <v>0</v>
      </c>
      <c r="I158" s="39">
        <f t="shared" si="18"/>
        <v>47459</v>
      </c>
      <c r="J158" s="40">
        <v>156</v>
      </c>
      <c r="K158" s="41">
        <f t="shared" si="22"/>
        <v>4745</v>
      </c>
      <c r="L158" s="42">
        <f t="shared" si="23"/>
        <v>0</v>
      </c>
      <c r="M158" s="43">
        <f t="shared" si="24"/>
        <v>0</v>
      </c>
      <c r="N158" s="43">
        <f t="shared" si="25"/>
        <v>0</v>
      </c>
      <c r="O158" s="44">
        <f t="shared" si="26"/>
        <v>0</v>
      </c>
    </row>
    <row r="159" spans="1:15" ht="12.75">
      <c r="A159" s="78">
        <v>47490</v>
      </c>
      <c r="B159" s="35">
        <f>IF(DIAS365('CALCULADORA TIS PESOS H-1'!$E$6,A159)&lt;0,0,DIAS365('CALCULADORA TIS PESOS H-1'!$E$6,A159))</f>
        <v>2373</v>
      </c>
      <c r="C159" s="36">
        <f>+HLOOKUP('CALCULADORA TIS PESOS H-1'!$E$4,Tablas!$B$1:$B$181,Flujos!J159+1,FALSE)</f>
        <v>0</v>
      </c>
      <c r="D159" s="83">
        <f t="shared" si="19"/>
        <v>0</v>
      </c>
      <c r="E159" s="37">
        <f t="shared" si="20"/>
        <v>0</v>
      </c>
      <c r="F159" s="37">
        <f>ROUND(D158*ROUND(((1+'CALCULADORA TIS PESOS H-1'!$C$14)^(1/12)-1),6),6)</f>
        <v>0</v>
      </c>
      <c r="G159" s="37">
        <f t="shared" si="21"/>
        <v>0</v>
      </c>
      <c r="H159" s="38">
        <f>IF($B159=0,0,G159/POWER(1+'CALCULADORA TIS PESOS H-1'!$F$11,Flujos!$B159/365))</f>
        <v>0</v>
      </c>
      <c r="I159" s="39">
        <f t="shared" si="18"/>
        <v>47490</v>
      </c>
      <c r="J159" s="40">
        <v>157</v>
      </c>
      <c r="K159" s="41">
        <f t="shared" si="22"/>
        <v>4776</v>
      </c>
      <c r="L159" s="42">
        <f t="shared" si="23"/>
        <v>0</v>
      </c>
      <c r="M159" s="43">
        <f t="shared" si="24"/>
        <v>0</v>
      </c>
      <c r="N159" s="43">
        <f t="shared" si="25"/>
        <v>0</v>
      </c>
      <c r="O159" s="44">
        <f t="shared" si="26"/>
        <v>0</v>
      </c>
    </row>
    <row r="160" spans="1:15" ht="12.75">
      <c r="A160" s="78">
        <v>47521</v>
      </c>
      <c r="B160" s="35">
        <f>IF(DIAS365('CALCULADORA TIS PESOS H-1'!$E$6,A160)&lt;0,0,DIAS365('CALCULADORA TIS PESOS H-1'!$E$6,A160))</f>
        <v>2404</v>
      </c>
      <c r="C160" s="36">
        <f>+HLOOKUP('CALCULADORA TIS PESOS H-1'!$E$4,Tablas!$B$1:$B$181,Flujos!J160+1,FALSE)</f>
        <v>0</v>
      </c>
      <c r="D160" s="83">
        <f t="shared" si="19"/>
        <v>0</v>
      </c>
      <c r="E160" s="37">
        <f t="shared" si="20"/>
        <v>0</v>
      </c>
      <c r="F160" s="37">
        <f>ROUND(D159*ROUND(((1+'CALCULADORA TIS PESOS H-1'!$C$14)^(1/12)-1),6),6)</f>
        <v>0</v>
      </c>
      <c r="G160" s="37">
        <f t="shared" si="21"/>
        <v>0</v>
      </c>
      <c r="H160" s="38">
        <f>IF($B160=0,0,G160/POWER(1+'CALCULADORA TIS PESOS H-1'!$F$11,Flujos!$B160/365))</f>
        <v>0</v>
      </c>
      <c r="I160" s="39">
        <f t="shared" si="18"/>
        <v>47521</v>
      </c>
      <c r="J160" s="40">
        <v>158</v>
      </c>
      <c r="K160" s="41">
        <f t="shared" si="22"/>
        <v>4807</v>
      </c>
      <c r="L160" s="42">
        <f t="shared" si="23"/>
        <v>0</v>
      </c>
      <c r="M160" s="43">
        <f t="shared" si="24"/>
        <v>0</v>
      </c>
      <c r="N160" s="43">
        <f t="shared" si="25"/>
        <v>0</v>
      </c>
      <c r="O160" s="44">
        <f t="shared" si="26"/>
        <v>0</v>
      </c>
    </row>
    <row r="161" spans="1:15" ht="12.75">
      <c r="A161" s="78">
        <v>47549</v>
      </c>
      <c r="B161" s="35">
        <f>IF(DIAS365('CALCULADORA TIS PESOS H-1'!$E$6,A161)&lt;0,0,DIAS365('CALCULADORA TIS PESOS H-1'!$E$6,A161))</f>
        <v>2432</v>
      </c>
      <c r="C161" s="36">
        <f>+HLOOKUP('CALCULADORA TIS PESOS H-1'!$E$4,Tablas!$B$1:$B$181,Flujos!J161+1,FALSE)</f>
        <v>0</v>
      </c>
      <c r="D161" s="83">
        <f t="shared" si="19"/>
        <v>0</v>
      </c>
      <c r="E161" s="37">
        <f t="shared" si="20"/>
        <v>0</v>
      </c>
      <c r="F161" s="37">
        <f>ROUND(D160*ROUND(((1+'CALCULADORA TIS PESOS H-1'!$C$14)^(1/12)-1),6),6)</f>
        <v>0</v>
      </c>
      <c r="G161" s="37">
        <f t="shared" si="21"/>
        <v>0</v>
      </c>
      <c r="H161" s="38">
        <f>IF($B161=0,0,G161/POWER(1+'CALCULADORA TIS PESOS H-1'!$F$11,Flujos!$B161/365))</f>
        <v>0</v>
      </c>
      <c r="I161" s="39">
        <f t="shared" si="18"/>
        <v>47549</v>
      </c>
      <c r="J161" s="40">
        <v>159</v>
      </c>
      <c r="K161" s="41">
        <f t="shared" si="22"/>
        <v>4835</v>
      </c>
      <c r="L161" s="42">
        <f t="shared" si="23"/>
        <v>0</v>
      </c>
      <c r="M161" s="43">
        <f t="shared" si="24"/>
        <v>0</v>
      </c>
      <c r="N161" s="43">
        <f t="shared" si="25"/>
        <v>0</v>
      </c>
      <c r="O161" s="44">
        <f t="shared" si="26"/>
        <v>0</v>
      </c>
    </row>
    <row r="162" spans="1:15" ht="12.75">
      <c r="A162" s="78">
        <v>47580</v>
      </c>
      <c r="B162" s="35">
        <f>IF(DIAS365('CALCULADORA TIS PESOS H-1'!$E$6,A162)&lt;0,0,DIAS365('CALCULADORA TIS PESOS H-1'!$E$6,A162))</f>
        <v>2463</v>
      </c>
      <c r="C162" s="36">
        <f>+HLOOKUP('CALCULADORA TIS PESOS H-1'!$E$4,Tablas!$B$1:$B$181,Flujos!J162+1,FALSE)</f>
        <v>0</v>
      </c>
      <c r="D162" s="83">
        <f t="shared" si="19"/>
        <v>0</v>
      </c>
      <c r="E162" s="37">
        <f t="shared" si="20"/>
        <v>0</v>
      </c>
      <c r="F162" s="37">
        <f>ROUND(D161*ROUND(((1+'CALCULADORA TIS PESOS H-1'!$C$14)^(1/12)-1),6),6)</f>
        <v>0</v>
      </c>
      <c r="G162" s="37">
        <f t="shared" si="21"/>
        <v>0</v>
      </c>
      <c r="H162" s="38">
        <f>IF($B162=0,0,G162/POWER(1+'CALCULADORA TIS PESOS H-1'!$F$11,Flujos!$B162/365))</f>
        <v>0</v>
      </c>
      <c r="I162" s="39">
        <f t="shared" si="18"/>
        <v>47580</v>
      </c>
      <c r="J162" s="40">
        <v>160</v>
      </c>
      <c r="K162" s="41">
        <f t="shared" si="22"/>
        <v>4866</v>
      </c>
      <c r="L162" s="42">
        <f t="shared" si="23"/>
        <v>0</v>
      </c>
      <c r="M162" s="43">
        <f t="shared" si="24"/>
        <v>0</v>
      </c>
      <c r="N162" s="43">
        <f t="shared" si="25"/>
        <v>0</v>
      </c>
      <c r="O162" s="44">
        <f t="shared" si="26"/>
        <v>0</v>
      </c>
    </row>
    <row r="163" spans="1:15" ht="12.75">
      <c r="A163" s="78">
        <v>47610</v>
      </c>
      <c r="B163" s="35">
        <f>IF(DIAS365('CALCULADORA TIS PESOS H-1'!$E$6,A163)&lt;0,0,DIAS365('CALCULADORA TIS PESOS H-1'!$E$6,A163))</f>
        <v>2493</v>
      </c>
      <c r="C163" s="36">
        <f>+HLOOKUP('CALCULADORA TIS PESOS H-1'!$E$4,Tablas!$B$1:$B$181,Flujos!J163+1,FALSE)</f>
        <v>0</v>
      </c>
      <c r="D163" s="83">
        <f t="shared" si="19"/>
        <v>0</v>
      </c>
      <c r="E163" s="37">
        <f t="shared" si="20"/>
        <v>0</v>
      </c>
      <c r="F163" s="37">
        <f>ROUND(D162*ROUND(((1+'CALCULADORA TIS PESOS H-1'!$C$14)^(1/12)-1),6),6)</f>
        <v>0</v>
      </c>
      <c r="G163" s="37">
        <f t="shared" si="21"/>
        <v>0</v>
      </c>
      <c r="H163" s="38">
        <f>IF($B163=0,0,G163/POWER(1+'CALCULADORA TIS PESOS H-1'!$F$11,Flujos!$B163/365))</f>
        <v>0</v>
      </c>
      <c r="I163" s="39">
        <f t="shared" si="18"/>
        <v>47610</v>
      </c>
      <c r="J163" s="40">
        <v>161</v>
      </c>
      <c r="K163" s="41">
        <f t="shared" si="22"/>
        <v>4896</v>
      </c>
      <c r="L163" s="42">
        <f t="shared" si="23"/>
        <v>0</v>
      </c>
      <c r="M163" s="43">
        <f t="shared" si="24"/>
        <v>0</v>
      </c>
      <c r="N163" s="43">
        <f t="shared" si="25"/>
        <v>0</v>
      </c>
      <c r="O163" s="44">
        <f t="shared" si="26"/>
        <v>0</v>
      </c>
    </row>
    <row r="164" spans="1:15" ht="12.75">
      <c r="A164" s="78">
        <v>47641</v>
      </c>
      <c r="B164" s="35">
        <f>IF(DIAS365('CALCULADORA TIS PESOS H-1'!$E$6,A164)&lt;0,0,DIAS365('CALCULADORA TIS PESOS H-1'!$E$6,A164))</f>
        <v>2524</v>
      </c>
      <c r="C164" s="36">
        <f>+HLOOKUP('CALCULADORA TIS PESOS H-1'!$E$4,Tablas!$B$1:$B$181,Flujos!J164+1,FALSE)</f>
        <v>0</v>
      </c>
      <c r="D164" s="83">
        <f t="shared" si="19"/>
        <v>0</v>
      </c>
      <c r="E164" s="37">
        <f t="shared" si="20"/>
        <v>0</v>
      </c>
      <c r="F164" s="37">
        <f>ROUND(D163*ROUND(((1+'CALCULADORA TIS PESOS H-1'!$C$14)^(1/12)-1),6),6)</f>
        <v>0</v>
      </c>
      <c r="G164" s="37">
        <f t="shared" si="21"/>
        <v>0</v>
      </c>
      <c r="H164" s="38">
        <f>IF($B164=0,0,G164/POWER(1+'CALCULADORA TIS PESOS H-1'!$F$11,Flujos!$B164/365))</f>
        <v>0</v>
      </c>
      <c r="I164" s="39">
        <f t="shared" si="18"/>
        <v>47641</v>
      </c>
      <c r="J164" s="40">
        <v>162</v>
      </c>
      <c r="K164" s="41">
        <f t="shared" si="22"/>
        <v>4927</v>
      </c>
      <c r="L164" s="42">
        <f t="shared" si="23"/>
        <v>0</v>
      </c>
      <c r="M164" s="43">
        <f t="shared" si="24"/>
        <v>0</v>
      </c>
      <c r="N164" s="43">
        <f t="shared" si="25"/>
        <v>0</v>
      </c>
      <c r="O164" s="44">
        <f t="shared" si="26"/>
        <v>0</v>
      </c>
    </row>
    <row r="165" spans="1:15" ht="12.75">
      <c r="A165" s="78">
        <v>47671</v>
      </c>
      <c r="B165" s="35">
        <f>IF(DIAS365('CALCULADORA TIS PESOS H-1'!$E$6,A165)&lt;0,0,DIAS365('CALCULADORA TIS PESOS H-1'!$E$6,A165))</f>
        <v>2554</v>
      </c>
      <c r="C165" s="36">
        <f>+HLOOKUP('CALCULADORA TIS PESOS H-1'!$E$4,Tablas!$B$1:$B$181,Flujos!J165+1,FALSE)</f>
        <v>0</v>
      </c>
      <c r="D165" s="83">
        <f t="shared" si="19"/>
        <v>0</v>
      </c>
      <c r="E165" s="37">
        <f t="shared" si="20"/>
        <v>0</v>
      </c>
      <c r="F165" s="37">
        <f>ROUND(D164*ROUND(((1+'CALCULADORA TIS PESOS H-1'!$C$14)^(1/12)-1),6),6)</f>
        <v>0</v>
      </c>
      <c r="G165" s="37">
        <f t="shared" si="21"/>
        <v>0</v>
      </c>
      <c r="H165" s="38">
        <f>IF($B165=0,0,G165/POWER(1+'CALCULADORA TIS PESOS H-1'!$F$11,Flujos!$B165/365))</f>
        <v>0</v>
      </c>
      <c r="I165" s="39">
        <f t="shared" si="18"/>
        <v>47671</v>
      </c>
      <c r="J165" s="40">
        <v>163</v>
      </c>
      <c r="K165" s="41">
        <f t="shared" si="22"/>
        <v>4957</v>
      </c>
      <c r="L165" s="42">
        <f t="shared" si="23"/>
        <v>0</v>
      </c>
      <c r="M165" s="43">
        <f t="shared" si="24"/>
        <v>0</v>
      </c>
      <c r="N165" s="43">
        <f t="shared" si="25"/>
        <v>0</v>
      </c>
      <c r="O165" s="44">
        <f t="shared" si="26"/>
        <v>0</v>
      </c>
    </row>
    <row r="166" spans="1:15" ht="12.75">
      <c r="A166" s="78">
        <v>47702</v>
      </c>
      <c r="B166" s="35">
        <f>IF(DIAS365('CALCULADORA TIS PESOS H-1'!$E$6,A166)&lt;0,0,DIAS365('CALCULADORA TIS PESOS H-1'!$E$6,A166))</f>
        <v>2585</v>
      </c>
      <c r="C166" s="36">
        <f>+HLOOKUP('CALCULADORA TIS PESOS H-1'!$E$4,Tablas!$B$1:$B$181,Flujos!J166+1,FALSE)</f>
        <v>0</v>
      </c>
      <c r="D166" s="83">
        <f t="shared" si="19"/>
        <v>0</v>
      </c>
      <c r="E166" s="37">
        <f t="shared" si="20"/>
        <v>0</v>
      </c>
      <c r="F166" s="37">
        <f>ROUND(D165*ROUND(((1+'CALCULADORA TIS PESOS H-1'!$C$14)^(1/12)-1),6),6)</f>
        <v>0</v>
      </c>
      <c r="G166" s="37">
        <f t="shared" si="21"/>
        <v>0</v>
      </c>
      <c r="H166" s="38">
        <f>IF($B166=0,0,G166/POWER(1+'CALCULADORA TIS PESOS H-1'!$F$11,Flujos!$B166/365))</f>
        <v>0</v>
      </c>
      <c r="I166" s="39">
        <f t="shared" si="18"/>
        <v>47702</v>
      </c>
      <c r="J166" s="40">
        <v>164</v>
      </c>
      <c r="K166" s="41">
        <f t="shared" si="22"/>
        <v>4988</v>
      </c>
      <c r="L166" s="42">
        <f t="shared" si="23"/>
        <v>0</v>
      </c>
      <c r="M166" s="43">
        <f t="shared" si="24"/>
        <v>0</v>
      </c>
      <c r="N166" s="43">
        <f t="shared" si="25"/>
        <v>0</v>
      </c>
      <c r="O166" s="44">
        <f t="shared" si="26"/>
        <v>0</v>
      </c>
    </row>
    <row r="167" spans="1:15" ht="12.75">
      <c r="A167" s="78">
        <v>47733</v>
      </c>
      <c r="B167" s="35">
        <f>IF(DIAS365('CALCULADORA TIS PESOS H-1'!$E$6,A167)&lt;0,0,DIAS365('CALCULADORA TIS PESOS H-1'!$E$6,A167))</f>
        <v>2616</v>
      </c>
      <c r="C167" s="36">
        <f>+HLOOKUP('CALCULADORA TIS PESOS H-1'!$E$4,Tablas!$B$1:$B$181,Flujos!J167+1,FALSE)</f>
        <v>0</v>
      </c>
      <c r="D167" s="83">
        <f t="shared" si="19"/>
        <v>0</v>
      </c>
      <c r="E167" s="37">
        <f t="shared" si="20"/>
        <v>0</v>
      </c>
      <c r="F167" s="37">
        <f>ROUND(D166*ROUND(((1+'CALCULADORA TIS PESOS H-1'!$C$14)^(1/12)-1),6),6)</f>
        <v>0</v>
      </c>
      <c r="G167" s="37">
        <f t="shared" si="21"/>
        <v>0</v>
      </c>
      <c r="H167" s="38">
        <f>IF($B167=0,0,G167/POWER(1+'CALCULADORA TIS PESOS H-1'!$F$11,Flujos!$B167/365))</f>
        <v>0</v>
      </c>
      <c r="I167" s="39">
        <f t="shared" si="18"/>
        <v>47733</v>
      </c>
      <c r="J167" s="40">
        <v>165</v>
      </c>
      <c r="K167" s="41">
        <f t="shared" si="22"/>
        <v>5019</v>
      </c>
      <c r="L167" s="42">
        <f t="shared" si="23"/>
        <v>0</v>
      </c>
      <c r="M167" s="43">
        <f t="shared" si="24"/>
        <v>0</v>
      </c>
      <c r="N167" s="43">
        <f t="shared" si="25"/>
        <v>0</v>
      </c>
      <c r="O167" s="44">
        <f t="shared" si="26"/>
        <v>0</v>
      </c>
    </row>
    <row r="168" spans="1:15" ht="12.75">
      <c r="A168" s="78">
        <v>47763</v>
      </c>
      <c r="B168" s="35">
        <f>IF(DIAS365('CALCULADORA TIS PESOS H-1'!$E$6,A168)&lt;0,0,DIAS365('CALCULADORA TIS PESOS H-1'!$E$6,A168))</f>
        <v>2646</v>
      </c>
      <c r="C168" s="36">
        <f>+HLOOKUP('CALCULADORA TIS PESOS H-1'!$E$4,Tablas!$B$1:$B$181,Flujos!J168+1,FALSE)</f>
        <v>0</v>
      </c>
      <c r="D168" s="83">
        <f t="shared" si="19"/>
        <v>0</v>
      </c>
      <c r="E168" s="37">
        <f t="shared" si="20"/>
        <v>0</v>
      </c>
      <c r="F168" s="37">
        <f>ROUND(D167*ROUND(((1+'CALCULADORA TIS PESOS H-1'!$C$14)^(1/12)-1),6),6)</f>
        <v>0</v>
      </c>
      <c r="G168" s="37">
        <f t="shared" si="21"/>
        <v>0</v>
      </c>
      <c r="H168" s="38">
        <f>IF($B168=0,0,G168/POWER(1+'CALCULADORA TIS PESOS H-1'!$F$11,Flujos!$B168/365))</f>
        <v>0</v>
      </c>
      <c r="I168" s="39">
        <f t="shared" si="18"/>
        <v>47763</v>
      </c>
      <c r="J168" s="40">
        <v>166</v>
      </c>
      <c r="K168" s="41">
        <f t="shared" si="22"/>
        <v>5049</v>
      </c>
      <c r="L168" s="42">
        <f t="shared" si="23"/>
        <v>0</v>
      </c>
      <c r="M168" s="43">
        <f t="shared" si="24"/>
        <v>0</v>
      </c>
      <c r="N168" s="43">
        <f t="shared" si="25"/>
        <v>0</v>
      </c>
      <c r="O168" s="44">
        <f t="shared" si="26"/>
        <v>0</v>
      </c>
    </row>
    <row r="169" spans="1:15" ht="12.75">
      <c r="A169" s="78">
        <v>47794</v>
      </c>
      <c r="B169" s="35">
        <f>IF(DIAS365('CALCULADORA TIS PESOS H-1'!$E$6,A169)&lt;0,0,DIAS365('CALCULADORA TIS PESOS H-1'!$E$6,A169))</f>
        <v>2677</v>
      </c>
      <c r="C169" s="36">
        <f>+HLOOKUP('CALCULADORA TIS PESOS H-1'!$E$4,Tablas!$B$1:$B$181,Flujos!J169+1,FALSE)</f>
        <v>0</v>
      </c>
      <c r="D169" s="83">
        <f t="shared" si="19"/>
        <v>0</v>
      </c>
      <c r="E169" s="37">
        <f t="shared" si="20"/>
        <v>0</v>
      </c>
      <c r="F169" s="37">
        <f>ROUND(D168*ROUND(((1+'CALCULADORA TIS PESOS H-1'!$C$14)^(1/12)-1),6),6)</f>
        <v>0</v>
      </c>
      <c r="G169" s="37">
        <f t="shared" si="21"/>
        <v>0</v>
      </c>
      <c r="H169" s="38">
        <f>IF($B169=0,0,G169/POWER(1+'CALCULADORA TIS PESOS H-1'!$F$11,Flujos!$B169/365))</f>
        <v>0</v>
      </c>
      <c r="I169" s="39">
        <f t="shared" si="18"/>
        <v>47794</v>
      </c>
      <c r="J169" s="40">
        <v>167</v>
      </c>
      <c r="K169" s="41">
        <f t="shared" si="22"/>
        <v>5080</v>
      </c>
      <c r="L169" s="42">
        <f t="shared" si="23"/>
        <v>0</v>
      </c>
      <c r="M169" s="43">
        <f t="shared" si="24"/>
        <v>0</v>
      </c>
      <c r="N169" s="43">
        <f t="shared" si="25"/>
        <v>0</v>
      </c>
      <c r="O169" s="44">
        <f t="shared" si="26"/>
        <v>0</v>
      </c>
    </row>
    <row r="170" spans="1:15" ht="12.75">
      <c r="A170" s="78">
        <v>47824</v>
      </c>
      <c r="B170" s="35">
        <f>IF(DIAS365('CALCULADORA TIS PESOS H-1'!$E$6,A170)&lt;0,0,DIAS365('CALCULADORA TIS PESOS H-1'!$E$6,A170))</f>
        <v>2707</v>
      </c>
      <c r="C170" s="36">
        <f>+HLOOKUP('CALCULADORA TIS PESOS H-1'!$E$4,Tablas!$B$1:$B$181,Flujos!J170+1,FALSE)</f>
        <v>0</v>
      </c>
      <c r="D170" s="83">
        <f t="shared" si="19"/>
        <v>0</v>
      </c>
      <c r="E170" s="37">
        <f t="shared" si="20"/>
        <v>0</v>
      </c>
      <c r="F170" s="37">
        <f>ROUND(D169*ROUND(((1+'CALCULADORA TIS PESOS H-1'!$C$14)^(1/12)-1),6),6)</f>
        <v>0</v>
      </c>
      <c r="G170" s="37">
        <f t="shared" si="21"/>
        <v>0</v>
      </c>
      <c r="H170" s="38">
        <f>IF($B170=0,0,G170/POWER(1+'CALCULADORA TIS PESOS H-1'!$F$11,Flujos!$B170/365))</f>
        <v>0</v>
      </c>
      <c r="I170" s="39">
        <f t="shared" si="18"/>
        <v>47824</v>
      </c>
      <c r="J170" s="40">
        <v>168</v>
      </c>
      <c r="K170" s="41">
        <f t="shared" si="22"/>
        <v>5110</v>
      </c>
      <c r="L170" s="42">
        <f t="shared" si="23"/>
        <v>0</v>
      </c>
      <c r="M170" s="43">
        <f t="shared" si="24"/>
        <v>0</v>
      </c>
      <c r="N170" s="43">
        <f t="shared" si="25"/>
        <v>0</v>
      </c>
      <c r="O170" s="44">
        <f t="shared" si="26"/>
        <v>0</v>
      </c>
    </row>
    <row r="171" spans="1:15" ht="12.75">
      <c r="A171" s="78">
        <v>47855</v>
      </c>
      <c r="B171" s="35">
        <f>IF(DIAS365('CALCULADORA TIS PESOS H-1'!$E$6,A171)&lt;0,0,DIAS365('CALCULADORA TIS PESOS H-1'!$E$6,A171))</f>
        <v>2738</v>
      </c>
      <c r="C171" s="36">
        <f>+HLOOKUP('CALCULADORA TIS PESOS H-1'!$E$4,Tablas!$B$1:$B$181,Flujos!J171+1,FALSE)</f>
        <v>0</v>
      </c>
      <c r="D171" s="83">
        <f t="shared" si="19"/>
        <v>0</v>
      </c>
      <c r="E171" s="37">
        <f t="shared" si="20"/>
        <v>0</v>
      </c>
      <c r="F171" s="37">
        <f>ROUND(D170*ROUND(((1+'CALCULADORA TIS PESOS H-1'!$C$14)^(1/12)-1),6),6)</f>
        <v>0</v>
      </c>
      <c r="G171" s="37">
        <f t="shared" si="21"/>
        <v>0</v>
      </c>
      <c r="H171" s="38">
        <f>IF($B171=0,0,G171/POWER(1+'CALCULADORA TIS PESOS H-1'!$F$11,Flujos!$B171/365))</f>
        <v>0</v>
      </c>
      <c r="I171" s="39">
        <f t="shared" si="18"/>
        <v>47855</v>
      </c>
      <c r="J171" s="40">
        <v>169</v>
      </c>
      <c r="K171" s="41">
        <f t="shared" si="22"/>
        <v>5141</v>
      </c>
      <c r="L171" s="42">
        <f t="shared" si="23"/>
        <v>0</v>
      </c>
      <c r="M171" s="43">
        <f t="shared" si="24"/>
        <v>0</v>
      </c>
      <c r="N171" s="43">
        <f t="shared" si="25"/>
        <v>0</v>
      </c>
      <c r="O171" s="44">
        <f t="shared" si="26"/>
        <v>0</v>
      </c>
    </row>
    <row r="172" spans="1:15" ht="12.75">
      <c r="A172" s="78">
        <v>47886</v>
      </c>
      <c r="B172" s="35">
        <f>IF(DIAS365('CALCULADORA TIS PESOS H-1'!$E$6,A172)&lt;0,0,DIAS365('CALCULADORA TIS PESOS H-1'!$E$6,A172))</f>
        <v>2769</v>
      </c>
      <c r="C172" s="36">
        <f>+HLOOKUP('CALCULADORA TIS PESOS H-1'!$E$4,Tablas!$B$1:$B$181,Flujos!J172+1,FALSE)</f>
        <v>0</v>
      </c>
      <c r="D172" s="83">
        <f t="shared" si="19"/>
        <v>0</v>
      </c>
      <c r="E172" s="37">
        <f t="shared" si="20"/>
        <v>0</v>
      </c>
      <c r="F172" s="37">
        <f>ROUND(D171*ROUND(((1+'CALCULADORA TIS PESOS H-1'!$C$14)^(1/12)-1),6),6)</f>
        <v>0</v>
      </c>
      <c r="G172" s="37">
        <f t="shared" si="21"/>
        <v>0</v>
      </c>
      <c r="H172" s="38">
        <f>IF($B172=0,0,G172/POWER(1+'CALCULADORA TIS PESOS H-1'!$F$11,Flujos!$B172/365))</f>
        <v>0</v>
      </c>
      <c r="I172" s="39">
        <f t="shared" si="18"/>
        <v>47886</v>
      </c>
      <c r="J172" s="40">
        <v>170</v>
      </c>
      <c r="K172" s="41">
        <f t="shared" si="22"/>
        <v>5172</v>
      </c>
      <c r="L172" s="42">
        <f t="shared" si="23"/>
        <v>0</v>
      </c>
      <c r="M172" s="43">
        <f t="shared" si="24"/>
        <v>0</v>
      </c>
      <c r="N172" s="43">
        <f t="shared" si="25"/>
        <v>0</v>
      </c>
      <c r="O172" s="44">
        <f t="shared" si="26"/>
        <v>0</v>
      </c>
    </row>
    <row r="173" spans="1:15" ht="12.75">
      <c r="A173" s="78">
        <v>47914</v>
      </c>
      <c r="B173" s="35">
        <f>IF(DIAS365('CALCULADORA TIS PESOS H-1'!$E$6,A173)&lt;0,0,DIAS365('CALCULADORA TIS PESOS H-1'!$E$6,A173))</f>
        <v>2797</v>
      </c>
      <c r="C173" s="36">
        <f>+HLOOKUP('CALCULADORA TIS PESOS H-1'!$E$4,Tablas!$B$1:$B$181,Flujos!J173+1,FALSE)</f>
        <v>0</v>
      </c>
      <c r="D173" s="83">
        <f t="shared" si="19"/>
        <v>0</v>
      </c>
      <c r="E173" s="37">
        <f t="shared" si="20"/>
        <v>0</v>
      </c>
      <c r="F173" s="37">
        <f>ROUND(D172*ROUND(((1+'CALCULADORA TIS PESOS H-1'!$C$14)^(1/12)-1),6),6)</f>
        <v>0</v>
      </c>
      <c r="G173" s="37">
        <f t="shared" si="21"/>
        <v>0</v>
      </c>
      <c r="H173" s="38">
        <f>IF($B173=0,0,G173/POWER(1+'CALCULADORA TIS PESOS H-1'!$F$11,Flujos!$B173/365))</f>
        <v>0</v>
      </c>
      <c r="I173" s="39">
        <f t="shared" si="18"/>
        <v>47914</v>
      </c>
      <c r="J173" s="40">
        <v>171</v>
      </c>
      <c r="K173" s="41">
        <f t="shared" si="22"/>
        <v>5200</v>
      </c>
      <c r="L173" s="42">
        <f t="shared" si="23"/>
        <v>0</v>
      </c>
      <c r="M173" s="43">
        <f t="shared" si="24"/>
        <v>0</v>
      </c>
      <c r="N173" s="43">
        <f t="shared" si="25"/>
        <v>0</v>
      </c>
      <c r="O173" s="44">
        <f t="shared" si="26"/>
        <v>0</v>
      </c>
    </row>
    <row r="174" spans="1:15" ht="12.75">
      <c r="A174" s="78">
        <v>47945</v>
      </c>
      <c r="B174" s="35">
        <f>IF(DIAS365('CALCULADORA TIS PESOS H-1'!$E$6,A174)&lt;0,0,DIAS365('CALCULADORA TIS PESOS H-1'!$E$6,A174))</f>
        <v>2828</v>
      </c>
      <c r="C174" s="36">
        <f>+HLOOKUP('CALCULADORA TIS PESOS H-1'!$E$4,Tablas!$B$1:$B$181,Flujos!J174+1,FALSE)</f>
        <v>0</v>
      </c>
      <c r="D174" s="83">
        <f t="shared" si="19"/>
        <v>0</v>
      </c>
      <c r="E174" s="37">
        <f t="shared" si="20"/>
        <v>0</v>
      </c>
      <c r="F174" s="37">
        <f>ROUND(D173*ROUND(((1+'CALCULADORA TIS PESOS H-1'!$C$14)^(1/12)-1),6),6)</f>
        <v>0</v>
      </c>
      <c r="G174" s="37">
        <f t="shared" si="21"/>
        <v>0</v>
      </c>
      <c r="H174" s="38">
        <f>IF($B174=0,0,G174/POWER(1+'CALCULADORA TIS PESOS H-1'!$F$11,Flujos!$B174/365))</f>
        <v>0</v>
      </c>
      <c r="I174" s="39">
        <f t="shared" si="18"/>
        <v>47945</v>
      </c>
      <c r="J174" s="40">
        <v>172</v>
      </c>
      <c r="K174" s="41">
        <f t="shared" si="22"/>
        <v>5231</v>
      </c>
      <c r="L174" s="42">
        <f t="shared" si="23"/>
        <v>0</v>
      </c>
      <c r="M174" s="43">
        <f t="shared" si="24"/>
        <v>0</v>
      </c>
      <c r="N174" s="43">
        <f t="shared" si="25"/>
        <v>0</v>
      </c>
      <c r="O174" s="44">
        <f t="shared" si="26"/>
        <v>0</v>
      </c>
    </row>
    <row r="175" spans="1:15" ht="12.75">
      <c r="A175" s="78">
        <v>47975</v>
      </c>
      <c r="B175" s="35">
        <f>IF(DIAS365('CALCULADORA TIS PESOS H-1'!$E$6,A175)&lt;0,0,DIAS365('CALCULADORA TIS PESOS H-1'!$E$6,A175))</f>
        <v>2858</v>
      </c>
      <c r="C175" s="36">
        <f>+HLOOKUP('CALCULADORA TIS PESOS H-1'!$E$4,Tablas!$B$1:$B$181,Flujos!J175+1,FALSE)</f>
        <v>0</v>
      </c>
      <c r="D175" s="83">
        <f t="shared" si="19"/>
        <v>0</v>
      </c>
      <c r="E175" s="37">
        <f t="shared" si="20"/>
        <v>0</v>
      </c>
      <c r="F175" s="37">
        <f>ROUND(D174*ROUND(((1+'CALCULADORA TIS PESOS H-1'!$C$14)^(1/12)-1),6),6)</f>
        <v>0</v>
      </c>
      <c r="G175" s="37">
        <f t="shared" si="21"/>
        <v>0</v>
      </c>
      <c r="H175" s="38">
        <f>IF($B175=0,0,G175/POWER(1+'CALCULADORA TIS PESOS H-1'!$F$11,Flujos!$B175/365))</f>
        <v>0</v>
      </c>
      <c r="I175" s="39">
        <f t="shared" si="18"/>
        <v>47975</v>
      </c>
      <c r="J175" s="40">
        <v>173</v>
      </c>
      <c r="K175" s="41">
        <f t="shared" si="22"/>
        <v>5261</v>
      </c>
      <c r="L175" s="42">
        <f t="shared" si="23"/>
        <v>0</v>
      </c>
      <c r="M175" s="43">
        <f t="shared" si="24"/>
        <v>0</v>
      </c>
      <c r="N175" s="43">
        <f t="shared" si="25"/>
        <v>0</v>
      </c>
      <c r="O175" s="44">
        <f t="shared" si="26"/>
        <v>0</v>
      </c>
    </row>
    <row r="176" spans="1:15" ht="12.75">
      <c r="A176" s="78">
        <v>48006</v>
      </c>
      <c r="B176" s="35">
        <f>IF(DIAS365('CALCULADORA TIS PESOS H-1'!$E$6,A176)&lt;0,0,DIAS365('CALCULADORA TIS PESOS H-1'!$E$6,A176))</f>
        <v>2889</v>
      </c>
      <c r="C176" s="36">
        <f>+HLOOKUP('CALCULADORA TIS PESOS H-1'!$E$4,Tablas!$B$1:$B$181,Flujos!J176+1,FALSE)</f>
        <v>0</v>
      </c>
      <c r="D176" s="83">
        <f t="shared" si="19"/>
        <v>0</v>
      </c>
      <c r="E176" s="37">
        <f t="shared" si="20"/>
        <v>0</v>
      </c>
      <c r="F176" s="37">
        <f>ROUND(D175*ROUND(((1+'CALCULADORA TIS PESOS H-1'!$C$14)^(1/12)-1),6),6)</f>
        <v>0</v>
      </c>
      <c r="G176" s="37">
        <f t="shared" si="21"/>
        <v>0</v>
      </c>
      <c r="H176" s="38">
        <f>IF($B176=0,0,G176/POWER(1+'CALCULADORA TIS PESOS H-1'!$F$11,Flujos!$B176/365))</f>
        <v>0</v>
      </c>
      <c r="I176" s="39">
        <f t="shared" si="18"/>
        <v>48006</v>
      </c>
      <c r="J176" s="40">
        <v>174</v>
      </c>
      <c r="K176" s="41">
        <f t="shared" si="22"/>
        <v>5292</v>
      </c>
      <c r="L176" s="42">
        <f t="shared" si="23"/>
        <v>0</v>
      </c>
      <c r="M176" s="43">
        <f t="shared" si="24"/>
        <v>0</v>
      </c>
      <c r="N176" s="43">
        <f t="shared" si="25"/>
        <v>0</v>
      </c>
      <c r="O176" s="44">
        <f t="shared" si="26"/>
        <v>0</v>
      </c>
    </row>
    <row r="177" spans="1:15" ht="12.75">
      <c r="A177" s="78">
        <v>48036</v>
      </c>
      <c r="B177" s="35">
        <f>IF(DIAS365('CALCULADORA TIS PESOS H-1'!$E$6,A177)&lt;0,0,DIAS365('CALCULADORA TIS PESOS H-1'!$E$6,A177))</f>
        <v>2919</v>
      </c>
      <c r="C177" s="36">
        <f>+HLOOKUP('CALCULADORA TIS PESOS H-1'!$E$4,Tablas!$B$1:$B$181,Flujos!J177+1,FALSE)</f>
        <v>0</v>
      </c>
      <c r="D177" s="83">
        <f t="shared" si="19"/>
        <v>0</v>
      </c>
      <c r="E177" s="37">
        <f t="shared" si="20"/>
        <v>0</v>
      </c>
      <c r="F177" s="37">
        <f>ROUND(D176*ROUND(((1+'CALCULADORA TIS PESOS H-1'!$C$14)^(1/12)-1),6),6)</f>
        <v>0</v>
      </c>
      <c r="G177" s="37">
        <f t="shared" si="21"/>
        <v>0</v>
      </c>
      <c r="H177" s="38">
        <f>IF($B177=0,0,G177/POWER(1+'CALCULADORA TIS PESOS H-1'!$F$11,Flujos!$B177/365))</f>
        <v>0</v>
      </c>
      <c r="I177" s="39">
        <f t="shared" si="18"/>
        <v>48036</v>
      </c>
      <c r="J177" s="40">
        <v>175</v>
      </c>
      <c r="K177" s="41">
        <f t="shared" si="22"/>
        <v>5322</v>
      </c>
      <c r="L177" s="42">
        <f t="shared" si="23"/>
        <v>0</v>
      </c>
      <c r="M177" s="43">
        <f t="shared" si="24"/>
        <v>0</v>
      </c>
      <c r="N177" s="43">
        <f t="shared" si="25"/>
        <v>0</v>
      </c>
      <c r="O177" s="44">
        <f t="shared" si="26"/>
        <v>0</v>
      </c>
    </row>
    <row r="178" spans="1:15" ht="12.75">
      <c r="A178" s="78">
        <v>48067</v>
      </c>
      <c r="B178" s="35">
        <f>IF(DIAS365('CALCULADORA TIS PESOS H-1'!$E$6,A178)&lt;0,0,DIAS365('CALCULADORA TIS PESOS H-1'!$E$6,A178))</f>
        <v>2950</v>
      </c>
      <c r="C178" s="36">
        <f>+HLOOKUP('CALCULADORA TIS PESOS H-1'!$E$4,Tablas!$B$1:$B$181,Flujos!J178+1,FALSE)</f>
        <v>0</v>
      </c>
      <c r="D178" s="83">
        <f t="shared" si="19"/>
        <v>0</v>
      </c>
      <c r="E178" s="37">
        <f t="shared" si="20"/>
        <v>0</v>
      </c>
      <c r="F178" s="37">
        <f>ROUND(D177*ROUND(((1+'CALCULADORA TIS PESOS H-1'!$C$14)^(1/12)-1),6),6)</f>
        <v>0</v>
      </c>
      <c r="G178" s="37">
        <f t="shared" si="21"/>
        <v>0</v>
      </c>
      <c r="H178" s="38">
        <f>IF($B178=0,0,G178/POWER(1+'CALCULADORA TIS PESOS H-1'!$F$11,Flujos!$B178/365))</f>
        <v>0</v>
      </c>
      <c r="I178" s="39">
        <f t="shared" si="18"/>
        <v>48067</v>
      </c>
      <c r="J178" s="40">
        <v>176</v>
      </c>
      <c r="K178" s="41">
        <f t="shared" si="22"/>
        <v>5353</v>
      </c>
      <c r="L178" s="42">
        <f t="shared" si="23"/>
        <v>0</v>
      </c>
      <c r="M178" s="43">
        <f t="shared" si="24"/>
        <v>0</v>
      </c>
      <c r="N178" s="43">
        <f t="shared" si="25"/>
        <v>0</v>
      </c>
      <c r="O178" s="44">
        <f t="shared" si="26"/>
        <v>0</v>
      </c>
    </row>
    <row r="179" spans="1:15" ht="12.75">
      <c r="A179" s="78">
        <v>48098</v>
      </c>
      <c r="B179" s="35">
        <f>IF(DIAS365('CALCULADORA TIS PESOS H-1'!$E$6,A179)&lt;0,0,DIAS365('CALCULADORA TIS PESOS H-1'!$E$6,A179))</f>
        <v>2981</v>
      </c>
      <c r="C179" s="36">
        <f>+HLOOKUP('CALCULADORA TIS PESOS H-1'!$E$4,Tablas!$B$1:$B$181,Flujos!J179+1,FALSE)</f>
        <v>0</v>
      </c>
      <c r="D179" s="83">
        <f t="shared" si="19"/>
        <v>0</v>
      </c>
      <c r="E179" s="37">
        <f t="shared" si="20"/>
        <v>0</v>
      </c>
      <c r="F179" s="37">
        <f>ROUND(D178*ROUND(((1+'CALCULADORA TIS PESOS H-1'!$C$14)^(1/12)-1),6),6)</f>
        <v>0</v>
      </c>
      <c r="G179" s="37">
        <f t="shared" si="21"/>
        <v>0</v>
      </c>
      <c r="H179" s="38">
        <f>IF($B179=0,0,G179/POWER(1+'CALCULADORA TIS PESOS H-1'!$F$11,Flujos!$B179/365))</f>
        <v>0</v>
      </c>
      <c r="I179" s="39">
        <f t="shared" si="18"/>
        <v>48098</v>
      </c>
      <c r="J179" s="40">
        <v>177</v>
      </c>
      <c r="K179" s="41">
        <f t="shared" si="22"/>
        <v>5384</v>
      </c>
      <c r="L179" s="42">
        <f t="shared" si="23"/>
        <v>0</v>
      </c>
      <c r="M179" s="43">
        <f t="shared" si="24"/>
        <v>0</v>
      </c>
      <c r="N179" s="43">
        <f t="shared" si="25"/>
        <v>0</v>
      </c>
      <c r="O179" s="44">
        <f t="shared" si="26"/>
        <v>0</v>
      </c>
    </row>
    <row r="180" spans="1:15" ht="12.75">
      <c r="A180" s="78">
        <v>48128</v>
      </c>
      <c r="B180" s="35">
        <f>IF(DIAS365('CALCULADORA TIS PESOS H-1'!$E$6,A180)&lt;0,0,DIAS365('CALCULADORA TIS PESOS H-1'!$E$6,A180))</f>
        <v>3011</v>
      </c>
      <c r="C180" s="36">
        <f>+HLOOKUP('CALCULADORA TIS PESOS H-1'!$E$4,Tablas!$B$1:$B$181,Flujos!J180+1,FALSE)</f>
        <v>0</v>
      </c>
      <c r="D180" s="83">
        <f t="shared" si="19"/>
        <v>0</v>
      </c>
      <c r="E180" s="37">
        <f t="shared" si="20"/>
        <v>0</v>
      </c>
      <c r="F180" s="37">
        <f>ROUND(D179*ROUND(((1+'CALCULADORA TIS PESOS H-1'!$C$14)^(1/12)-1),6),6)</f>
        <v>0</v>
      </c>
      <c r="G180" s="37">
        <f t="shared" si="21"/>
        <v>0</v>
      </c>
      <c r="H180" s="38">
        <f>IF($B180=0,0,G180/POWER(1+'CALCULADORA TIS PESOS H-1'!$F$11,Flujos!$B180/365))</f>
        <v>0</v>
      </c>
      <c r="I180" s="39">
        <f t="shared" si="18"/>
        <v>48128</v>
      </c>
      <c r="J180" s="40">
        <v>178</v>
      </c>
      <c r="K180" s="41">
        <f t="shared" si="22"/>
        <v>5414</v>
      </c>
      <c r="L180" s="42">
        <f t="shared" si="23"/>
        <v>0</v>
      </c>
      <c r="M180" s="43">
        <f t="shared" si="24"/>
        <v>0</v>
      </c>
      <c r="N180" s="43">
        <f t="shared" si="25"/>
        <v>0</v>
      </c>
      <c r="O180" s="44">
        <f t="shared" si="26"/>
        <v>0</v>
      </c>
    </row>
    <row r="181" spans="1:15" ht="12.75">
      <c r="A181" s="78">
        <v>48159</v>
      </c>
      <c r="B181" s="35">
        <f>IF(DIAS365('CALCULADORA TIS PESOS H-1'!$E$6,A181)&lt;0,0,DIAS365('CALCULADORA TIS PESOS H-1'!$E$6,A181))</f>
        <v>3042</v>
      </c>
      <c r="C181" s="36">
        <f>+HLOOKUP('CALCULADORA TIS PESOS H-1'!$E$4,Tablas!$B$1:$B$181,Flujos!J181+1,FALSE)</f>
        <v>0</v>
      </c>
      <c r="D181" s="83">
        <f t="shared" si="19"/>
        <v>0</v>
      </c>
      <c r="E181" s="37">
        <f t="shared" si="20"/>
        <v>0</v>
      </c>
      <c r="F181" s="37">
        <f>ROUND(D180*ROUND(((1+'CALCULADORA TIS PESOS H-1'!$C$14)^(1/12)-1),6),6)</f>
        <v>0</v>
      </c>
      <c r="G181" s="37">
        <f t="shared" si="21"/>
        <v>0</v>
      </c>
      <c r="H181" s="38">
        <f>IF($B181=0,0,G181/POWER(1+'CALCULADORA TIS PESOS H-1'!$F$11,Flujos!$B181/365))</f>
        <v>0</v>
      </c>
      <c r="I181" s="39">
        <f t="shared" si="18"/>
        <v>48159</v>
      </c>
      <c r="J181" s="40">
        <v>179</v>
      </c>
      <c r="K181" s="41">
        <f t="shared" si="22"/>
        <v>5445</v>
      </c>
      <c r="L181" s="42">
        <f t="shared" si="23"/>
        <v>0</v>
      </c>
      <c r="M181" s="43">
        <f t="shared" si="24"/>
        <v>0</v>
      </c>
      <c r="N181" s="43">
        <f t="shared" si="25"/>
        <v>0</v>
      </c>
      <c r="O181" s="44">
        <f t="shared" si="26"/>
        <v>0</v>
      </c>
    </row>
    <row r="182" spans="1:15" ht="13.5" thickBot="1">
      <c r="A182" s="78">
        <v>48181</v>
      </c>
      <c r="B182" s="35">
        <f>IF(DIAS365('CALCULADORA TIS PESOS H-1'!$E$6,A182)&lt;0,0,DIAS365('CALCULADORA TIS PESOS H-1'!$E$6,A182))</f>
        <v>3064</v>
      </c>
      <c r="C182" s="36">
        <f>+HLOOKUP('CALCULADORA TIS PESOS H-1'!$E$4,Tablas!$B$1:$B$181,Flujos!J182+1,FALSE)</f>
        <v>0</v>
      </c>
      <c r="D182" s="83">
        <f t="shared" si="19"/>
        <v>0</v>
      </c>
      <c r="E182" s="37">
        <f t="shared" si="20"/>
        <v>0</v>
      </c>
      <c r="F182" s="37">
        <f>ROUND(D181*ROUND(((1+'CALCULADORA TIS PESOS H-1'!$C$14)^(1/12)-1),6),6)</f>
        <v>0</v>
      </c>
      <c r="G182" s="37">
        <f t="shared" si="21"/>
        <v>0</v>
      </c>
      <c r="H182" s="38">
        <f>IF($B182=0,0,G182/POWER(1+'CALCULADORA TIS PESOS H-1'!$F$11,Flujos!$B182/365))</f>
        <v>0</v>
      </c>
      <c r="I182" s="45">
        <f t="shared" si="18"/>
        <v>48181</v>
      </c>
      <c r="J182" s="46">
        <v>180</v>
      </c>
      <c r="K182" s="47">
        <f t="shared" si="22"/>
        <v>5467</v>
      </c>
      <c r="L182" s="42">
        <f t="shared" si="23"/>
        <v>0</v>
      </c>
      <c r="M182" s="48">
        <f t="shared" si="24"/>
        <v>0</v>
      </c>
      <c r="N182" s="48">
        <f t="shared" si="25"/>
        <v>0</v>
      </c>
      <c r="O182" s="49">
        <f t="shared" si="26"/>
        <v>0</v>
      </c>
    </row>
    <row r="183" spans="1:15" ht="13.5" thickBot="1">
      <c r="A183" s="50"/>
      <c r="B183" s="51"/>
      <c r="C183" s="52">
        <f>+SUMIF(B2:B182,"&gt;0",C2:C182)</f>
        <v>0.00447161</v>
      </c>
      <c r="D183" s="53"/>
      <c r="E183" s="54">
        <f>SUM(E2:E182)</f>
        <v>99.99999999999997</v>
      </c>
      <c r="F183" s="54">
        <f>SUM(F2:F182)</f>
        <v>27.757160999999993</v>
      </c>
      <c r="G183" s="54">
        <f>SUM(G2:G182)</f>
        <v>127.75716100000002</v>
      </c>
      <c r="H183" s="55">
        <f>SUM(H2:H182)</f>
        <v>0.4472068432880468</v>
      </c>
      <c r="I183" s="56"/>
      <c r="L183" s="58" t="s">
        <v>36</v>
      </c>
      <c r="M183" s="59">
        <f>SUM(M2:M182)</f>
        <v>205599071812.50153</v>
      </c>
      <c r="N183" s="59">
        <f>SUM(N2:N182)</f>
        <v>57068464755.41028</v>
      </c>
      <c r="O183" s="60">
        <f>SUM(O2:O182)</f>
        <v>262667536567.91183</v>
      </c>
    </row>
  </sheetData>
  <sheetProtection/>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
  <dimension ref="A1:B181"/>
  <sheetViews>
    <sheetView zoomScale="75" zoomScaleNormal="75" zoomScalePageLayoutView="0" workbookViewId="0" topLeftCell="A1">
      <selection activeCell="B2" sqref="B2"/>
    </sheetView>
  </sheetViews>
  <sheetFormatPr defaultColWidth="11.421875" defaultRowHeight="12.75"/>
  <cols>
    <col min="1" max="1" width="18.140625" style="27" customWidth="1"/>
    <col min="2" max="2" width="24.00390625" style="27" bestFit="1" customWidth="1"/>
    <col min="3" max="16384" width="11.421875" style="27" customWidth="1"/>
  </cols>
  <sheetData>
    <row r="1" spans="1:2" ht="13.5" thickBot="1">
      <c r="A1" s="72" t="s">
        <v>0</v>
      </c>
      <c r="B1" s="6" t="str">
        <f>+Características!$B$1</f>
        <v>TIS Pesos H-1 A 2026</v>
      </c>
    </row>
    <row r="2" spans="1:2" ht="12.75">
      <c r="A2" s="28">
        <f>+'Tabla de Amortizacion'!A3</f>
        <v>42742</v>
      </c>
      <c r="B2" s="89">
        <f>IF('CALCULADORA TIS PESOS H-1'!$F$10="Contractual",ROUND('Tabla de Amortizacion'!B3,15),IF('CALCULADORA TIS PESOS H-1'!$F$10="6% (Medio)",ROUND('Tabla de Amortizacion'!D3,15),IF('CALCULADORA TIS PESOS H-1'!$F$10="10% (Medio Alto)",ROUND('Tabla de Amortizacion'!F3,15),IF('CALCULADORA TIS PESOS H-1'!$F$10="14% (Alto)",ROUND('Tabla de Amortizacion'!H3,15),IF('CALCULADORA TIS PESOS H-1'!$F$10="20%_",ROUND('Tabla de Amortizacion'!J3,15),ROUND('Tabla de Amortizacion'!L3,15))))))</f>
        <v>0.01284154</v>
      </c>
    </row>
    <row r="3" spans="1:2" ht="12.75">
      <c r="A3" s="29">
        <f aca="true" t="shared" si="0" ref="A3:A34">_XLL.FECHA.MES(A2,1)</f>
        <v>42773</v>
      </c>
      <c r="B3" s="89">
        <f>IF('CALCULADORA TIS PESOS H-1'!$F$10="Contractual",ROUND('Tabla de Amortizacion'!B4,15),IF('CALCULADORA TIS PESOS H-1'!$F$10="6% (Medio)",ROUND('Tabla de Amortizacion'!D4,15),IF('CALCULADORA TIS PESOS H-1'!$F$10="10% (Medio Alto)",ROUND('Tabla de Amortizacion'!F4,15),IF('CALCULADORA TIS PESOS H-1'!$F$10="14% (Alto)",ROUND('Tabla de Amortizacion'!H4,15),IF('CALCULADORA TIS PESOS H-1'!$F$10="20%_",ROUND('Tabla de Amortizacion'!J4,15),ROUND('Tabla de Amortizacion'!L4,15))))))</f>
        <v>0.01607811</v>
      </c>
    </row>
    <row r="4" spans="1:2" ht="12.75">
      <c r="A4" s="29">
        <f t="shared" si="0"/>
        <v>42801</v>
      </c>
      <c r="B4" s="89">
        <f>IF('CALCULADORA TIS PESOS H-1'!$F$10="Contractual",ROUND('Tabla de Amortizacion'!B5,15),IF('CALCULADORA TIS PESOS H-1'!$F$10="6% (Medio)",ROUND('Tabla de Amortizacion'!D5,15),IF('CALCULADORA TIS PESOS H-1'!$F$10="10% (Medio Alto)",ROUND('Tabla de Amortizacion'!F5,15),IF('CALCULADORA TIS PESOS H-1'!$F$10="14% (Alto)",ROUND('Tabla de Amortizacion'!H5,15),IF('CALCULADORA TIS PESOS H-1'!$F$10="20%_",ROUND('Tabla de Amortizacion'!J5,15),ROUND('Tabla de Amortizacion'!L5,15))))))</f>
        <v>0.01414138</v>
      </c>
    </row>
    <row r="5" spans="1:2" ht="12.75">
      <c r="A5" s="29">
        <f t="shared" si="0"/>
        <v>42832</v>
      </c>
      <c r="B5" s="89">
        <f>IF('CALCULADORA TIS PESOS H-1'!$F$10="Contractual",ROUND('Tabla de Amortizacion'!B6,15),IF('CALCULADORA TIS PESOS H-1'!$F$10="6% (Medio)",ROUND('Tabla de Amortizacion'!D6,15),IF('CALCULADORA TIS PESOS H-1'!$F$10="10% (Medio Alto)",ROUND('Tabla de Amortizacion'!F6,15),IF('CALCULADORA TIS PESOS H-1'!$F$10="14% (Alto)",ROUND('Tabla de Amortizacion'!H6,15),IF('CALCULADORA TIS PESOS H-1'!$F$10="20%_",ROUND('Tabla de Amortizacion'!J6,15),ROUND('Tabla de Amortizacion'!L6,15))))))</f>
        <v>0.00908298</v>
      </c>
    </row>
    <row r="6" spans="1:2" ht="12.75">
      <c r="A6" s="29">
        <f t="shared" si="0"/>
        <v>42862</v>
      </c>
      <c r="B6" s="89">
        <f>IF('CALCULADORA TIS PESOS H-1'!$F$10="Contractual",ROUND('Tabla de Amortizacion'!B7,15),IF('CALCULADORA TIS PESOS H-1'!$F$10="6% (Medio)",ROUND('Tabla de Amortizacion'!D7,15),IF('CALCULADORA TIS PESOS H-1'!$F$10="10% (Medio Alto)",ROUND('Tabla de Amortizacion'!F7,15),IF('CALCULADORA TIS PESOS H-1'!$F$10="14% (Alto)",ROUND('Tabla de Amortizacion'!H7,15),IF('CALCULADORA TIS PESOS H-1'!$F$10="20%_",ROUND('Tabla de Amortizacion'!J7,15),ROUND('Tabla de Amortizacion'!L7,15))))))</f>
        <v>0.01300211</v>
      </c>
    </row>
    <row r="7" spans="1:2" ht="12.75">
      <c r="A7" s="29">
        <f t="shared" si="0"/>
        <v>42893</v>
      </c>
      <c r="B7" s="89">
        <f>IF('CALCULADORA TIS PESOS H-1'!$F$10="Contractual",ROUND('Tabla de Amortizacion'!B8,15),IF('CALCULADORA TIS PESOS H-1'!$F$10="6% (Medio)",ROUND('Tabla de Amortizacion'!D8,15),IF('CALCULADORA TIS PESOS H-1'!$F$10="10% (Medio Alto)",ROUND('Tabla de Amortizacion'!F8,15),IF('CALCULADORA TIS PESOS H-1'!$F$10="14% (Alto)",ROUND('Tabla de Amortizacion'!H8,15),IF('CALCULADORA TIS PESOS H-1'!$F$10="20%_",ROUND('Tabla de Amortizacion'!J8,15),ROUND('Tabla de Amortizacion'!L8,15))))))</f>
        <v>0.0153048</v>
      </c>
    </row>
    <row r="8" spans="1:2" ht="12.75">
      <c r="A8" s="29">
        <f t="shared" si="0"/>
        <v>42923</v>
      </c>
      <c r="B8" s="89">
        <f>IF('CALCULADORA TIS PESOS H-1'!$F$10="Contractual",ROUND('Tabla de Amortizacion'!B9,15),IF('CALCULADORA TIS PESOS H-1'!$F$10="6% (Medio)",ROUND('Tabla de Amortizacion'!D9,15),IF('CALCULADORA TIS PESOS H-1'!$F$10="10% (Medio Alto)",ROUND('Tabla de Amortizacion'!F9,15),IF('CALCULADORA TIS PESOS H-1'!$F$10="14% (Alto)",ROUND('Tabla de Amortizacion'!H9,15),IF('CALCULADORA TIS PESOS H-1'!$F$10="20%_",ROUND('Tabla de Amortizacion'!J9,15),ROUND('Tabla de Amortizacion'!L9,15))))))</f>
        <v>0.01756414</v>
      </c>
    </row>
    <row r="9" spans="1:2" ht="12.75">
      <c r="A9" s="29">
        <f t="shared" si="0"/>
        <v>42954</v>
      </c>
      <c r="B9" s="89">
        <f>IF('CALCULADORA TIS PESOS H-1'!$F$10="Contractual",ROUND('Tabla de Amortizacion'!B10,15),IF('CALCULADORA TIS PESOS H-1'!$F$10="6% (Medio)",ROUND('Tabla de Amortizacion'!D10,15),IF('CALCULADORA TIS PESOS H-1'!$F$10="10% (Medio Alto)",ROUND('Tabla de Amortizacion'!F10,15),IF('CALCULADORA TIS PESOS H-1'!$F$10="14% (Alto)",ROUND('Tabla de Amortizacion'!H10,15),IF('CALCULADORA TIS PESOS H-1'!$F$10="20%_",ROUND('Tabla de Amortizacion'!J10,15),ROUND('Tabla de Amortizacion'!L10,15))))))</f>
        <v>0.00977019</v>
      </c>
    </row>
    <row r="10" spans="1:2" ht="12.75">
      <c r="A10" s="29">
        <f t="shared" si="0"/>
        <v>42985</v>
      </c>
      <c r="B10" s="89">
        <f>IF('CALCULADORA TIS PESOS H-1'!$F$10="Contractual",ROUND('Tabla de Amortizacion'!B11,15),IF('CALCULADORA TIS PESOS H-1'!$F$10="6% (Medio)",ROUND('Tabla de Amortizacion'!D11,15),IF('CALCULADORA TIS PESOS H-1'!$F$10="10% (Medio Alto)",ROUND('Tabla de Amortizacion'!F11,15),IF('CALCULADORA TIS PESOS H-1'!$F$10="14% (Alto)",ROUND('Tabla de Amortizacion'!H11,15),IF('CALCULADORA TIS PESOS H-1'!$F$10="20%_",ROUND('Tabla de Amortizacion'!J11,15),ROUND('Tabla de Amortizacion'!L11,15))))))</f>
        <v>0.01133641</v>
      </c>
    </row>
    <row r="11" spans="1:2" ht="12.75">
      <c r="A11" s="29">
        <f t="shared" si="0"/>
        <v>43015</v>
      </c>
      <c r="B11" s="89">
        <f>IF('CALCULADORA TIS PESOS H-1'!$F$10="Contractual",ROUND('Tabla de Amortizacion'!B12,15),IF('CALCULADORA TIS PESOS H-1'!$F$10="6% (Medio)",ROUND('Tabla de Amortizacion'!D12,15),IF('CALCULADORA TIS PESOS H-1'!$F$10="10% (Medio Alto)",ROUND('Tabla de Amortizacion'!F12,15),IF('CALCULADORA TIS PESOS H-1'!$F$10="14% (Alto)",ROUND('Tabla de Amortizacion'!H12,15),IF('CALCULADORA TIS PESOS H-1'!$F$10="20%_",ROUND('Tabla de Amortizacion'!J12,15),ROUND('Tabla de Amortizacion'!L12,15))))))</f>
        <v>0.01554462</v>
      </c>
    </row>
    <row r="12" spans="1:2" ht="12.75">
      <c r="A12" s="29">
        <f t="shared" si="0"/>
        <v>43046</v>
      </c>
      <c r="B12" s="89">
        <f>IF('CALCULADORA TIS PESOS H-1'!$F$10="Contractual",ROUND('Tabla de Amortizacion'!B13,15),IF('CALCULADORA TIS PESOS H-1'!$F$10="6% (Medio)",ROUND('Tabla de Amortizacion'!D13,15),IF('CALCULADORA TIS PESOS H-1'!$F$10="10% (Medio Alto)",ROUND('Tabla de Amortizacion'!F13,15),IF('CALCULADORA TIS PESOS H-1'!$F$10="14% (Alto)",ROUND('Tabla de Amortizacion'!H13,15),IF('CALCULADORA TIS PESOS H-1'!$F$10="20%_",ROUND('Tabla de Amortizacion'!J13,15),ROUND('Tabla de Amortizacion'!L13,15))))))</f>
        <v>0.01137033</v>
      </c>
    </row>
    <row r="13" spans="1:2" ht="12.75">
      <c r="A13" s="29">
        <f t="shared" si="0"/>
        <v>43076</v>
      </c>
      <c r="B13" s="89">
        <f>IF('CALCULADORA TIS PESOS H-1'!$F$10="Contractual",ROUND('Tabla de Amortizacion'!B14,15),IF('CALCULADORA TIS PESOS H-1'!$F$10="6% (Medio)",ROUND('Tabla de Amortizacion'!D14,15),IF('CALCULADORA TIS PESOS H-1'!$F$10="10% (Medio Alto)",ROUND('Tabla de Amortizacion'!F14,15),IF('CALCULADORA TIS PESOS H-1'!$F$10="14% (Alto)",ROUND('Tabla de Amortizacion'!H14,15),IF('CALCULADORA TIS PESOS H-1'!$F$10="20%_",ROUND('Tabla de Amortizacion'!J14,15),ROUND('Tabla de Amortizacion'!L14,15))))))</f>
        <v>0.01359955</v>
      </c>
    </row>
    <row r="14" spans="1:2" ht="12.75">
      <c r="A14" s="29">
        <f t="shared" si="0"/>
        <v>43107</v>
      </c>
      <c r="B14" s="89">
        <f>IF('CALCULADORA TIS PESOS H-1'!$F$10="Contractual",ROUND('Tabla de Amortizacion'!B15,15),IF('CALCULADORA TIS PESOS H-1'!$F$10="6% (Medio)",ROUND('Tabla de Amortizacion'!D15,15),IF('CALCULADORA TIS PESOS H-1'!$F$10="10% (Medio Alto)",ROUND('Tabla de Amortizacion'!F15,15),IF('CALCULADORA TIS PESOS H-1'!$F$10="14% (Alto)",ROUND('Tabla de Amortizacion'!H15,15),IF('CALCULADORA TIS PESOS H-1'!$F$10="20%_",ROUND('Tabla de Amortizacion'!J15,15),ROUND('Tabla de Amortizacion'!L15,15))))))</f>
        <v>0.01440922</v>
      </c>
    </row>
    <row r="15" spans="1:2" ht="12.75">
      <c r="A15" s="29">
        <f t="shared" si="0"/>
        <v>43138</v>
      </c>
      <c r="B15" s="89">
        <f>IF('CALCULADORA TIS PESOS H-1'!$F$10="Contractual",ROUND('Tabla de Amortizacion'!B16,15),IF('CALCULADORA TIS PESOS H-1'!$F$10="6% (Medio)",ROUND('Tabla de Amortizacion'!D16,15),IF('CALCULADORA TIS PESOS H-1'!$F$10="10% (Medio Alto)",ROUND('Tabla de Amortizacion'!F16,15),IF('CALCULADORA TIS PESOS H-1'!$F$10="14% (Alto)",ROUND('Tabla de Amortizacion'!H16,15),IF('CALCULADORA TIS PESOS H-1'!$F$10="20%_",ROUND('Tabla de Amortizacion'!J16,15),ROUND('Tabla de Amortizacion'!L16,15))))))</f>
        <v>0.01274202</v>
      </c>
    </row>
    <row r="16" spans="1:2" ht="12.75">
      <c r="A16" s="29">
        <f t="shared" si="0"/>
        <v>43166</v>
      </c>
      <c r="B16" s="89">
        <f>IF('CALCULADORA TIS PESOS H-1'!$F$10="Contractual",ROUND('Tabla de Amortizacion'!B17,15),IF('CALCULADORA TIS PESOS H-1'!$F$10="6% (Medio)",ROUND('Tabla de Amortizacion'!D17,15),IF('CALCULADORA TIS PESOS H-1'!$F$10="10% (Medio Alto)",ROUND('Tabla de Amortizacion'!F17,15),IF('CALCULADORA TIS PESOS H-1'!$F$10="14% (Alto)",ROUND('Tabla de Amortizacion'!H17,15),IF('CALCULADORA TIS PESOS H-1'!$F$10="20%_",ROUND('Tabla de Amortizacion'!J17,15),ROUND('Tabla de Amortizacion'!L17,15))))))</f>
        <v>0.01410382</v>
      </c>
    </row>
    <row r="17" spans="1:2" ht="12.75">
      <c r="A17" s="29">
        <f t="shared" si="0"/>
        <v>43197</v>
      </c>
      <c r="B17" s="89">
        <f>IF('CALCULADORA TIS PESOS H-1'!$F$10="Contractual",ROUND('Tabla de Amortizacion'!B18,15),IF('CALCULADORA TIS PESOS H-1'!$F$10="6% (Medio)",ROUND('Tabla de Amortizacion'!D18,15),IF('CALCULADORA TIS PESOS H-1'!$F$10="10% (Medio Alto)",ROUND('Tabla de Amortizacion'!F18,15),IF('CALCULADORA TIS PESOS H-1'!$F$10="14% (Alto)",ROUND('Tabla de Amortizacion'!H18,15),IF('CALCULADORA TIS PESOS H-1'!$F$10="20%_",ROUND('Tabla de Amortizacion'!J18,15),ROUND('Tabla de Amortizacion'!L18,15))))))</f>
        <v>0.01118991</v>
      </c>
    </row>
    <row r="18" spans="1:2" ht="12.75">
      <c r="A18" s="29">
        <f t="shared" si="0"/>
        <v>43227</v>
      </c>
      <c r="B18" s="89">
        <f>IF('CALCULADORA TIS PESOS H-1'!$F$10="Contractual",ROUND('Tabla de Amortizacion'!B19,15),IF('CALCULADORA TIS PESOS H-1'!$F$10="6% (Medio)",ROUND('Tabla de Amortizacion'!D19,15),IF('CALCULADORA TIS PESOS H-1'!$F$10="10% (Medio Alto)",ROUND('Tabla de Amortizacion'!F19,15),IF('CALCULADORA TIS PESOS H-1'!$F$10="14% (Alto)",ROUND('Tabla de Amortizacion'!H19,15),IF('CALCULADORA TIS PESOS H-1'!$F$10="20%_",ROUND('Tabla de Amortizacion'!J19,15),ROUND('Tabla de Amortizacion'!L19,15))))))</f>
        <v>0.01238639</v>
      </c>
    </row>
    <row r="19" spans="1:2" ht="12.75">
      <c r="A19" s="29">
        <f t="shared" si="0"/>
        <v>43258</v>
      </c>
      <c r="B19" s="89">
        <f>IF('CALCULADORA TIS PESOS H-1'!$F$10="Contractual",ROUND('Tabla de Amortizacion'!B20,15),IF('CALCULADORA TIS PESOS H-1'!$F$10="6% (Medio)",ROUND('Tabla de Amortizacion'!D20,15),IF('CALCULADORA TIS PESOS H-1'!$F$10="10% (Medio Alto)",ROUND('Tabla de Amortizacion'!F20,15),IF('CALCULADORA TIS PESOS H-1'!$F$10="14% (Alto)",ROUND('Tabla de Amortizacion'!H20,15),IF('CALCULADORA TIS PESOS H-1'!$F$10="20%_",ROUND('Tabla de Amortizacion'!J20,15),ROUND('Tabla de Amortizacion'!L20,15))))))</f>
        <v>0.01408569</v>
      </c>
    </row>
    <row r="20" spans="1:2" ht="12.75">
      <c r="A20" s="29">
        <f t="shared" si="0"/>
        <v>43288</v>
      </c>
      <c r="B20" s="89">
        <f>IF('CALCULADORA TIS PESOS H-1'!$F$10="Contractual",ROUND('Tabla de Amortizacion'!B21,15),IF('CALCULADORA TIS PESOS H-1'!$F$10="6% (Medio)",ROUND('Tabla de Amortizacion'!D21,15),IF('CALCULADORA TIS PESOS H-1'!$F$10="10% (Medio Alto)",ROUND('Tabla de Amortizacion'!F21,15),IF('CALCULADORA TIS PESOS H-1'!$F$10="14% (Alto)",ROUND('Tabla de Amortizacion'!H21,15),IF('CALCULADORA TIS PESOS H-1'!$F$10="20%_",ROUND('Tabla de Amortizacion'!J21,15),ROUND('Tabla de Amortizacion'!L21,15))))))</f>
        <v>0.01263502</v>
      </c>
    </row>
    <row r="21" spans="1:2" ht="12.75">
      <c r="A21" s="29">
        <f t="shared" si="0"/>
        <v>43319</v>
      </c>
      <c r="B21" s="89">
        <f>IF('CALCULADORA TIS PESOS H-1'!$F$10="Contractual",ROUND('Tabla de Amortizacion'!B22,15),IF('CALCULADORA TIS PESOS H-1'!$F$10="6% (Medio)",ROUND('Tabla de Amortizacion'!D22,15),IF('CALCULADORA TIS PESOS H-1'!$F$10="10% (Medio Alto)",ROUND('Tabla de Amortizacion'!F22,15),IF('CALCULADORA TIS PESOS H-1'!$F$10="14% (Alto)",ROUND('Tabla de Amortizacion'!H22,15),IF('CALCULADORA TIS PESOS H-1'!$F$10="20%_",ROUND('Tabla de Amortizacion'!J22,15),ROUND('Tabla de Amortizacion'!L22,15))))))</f>
        <v>0.0149282</v>
      </c>
    </row>
    <row r="22" spans="1:2" ht="12.75">
      <c r="A22" s="29">
        <f t="shared" si="0"/>
        <v>43350</v>
      </c>
      <c r="B22" s="89">
        <f>IF('CALCULADORA TIS PESOS H-1'!$F$10="Contractual",ROUND('Tabla de Amortizacion'!B23,15),IF('CALCULADORA TIS PESOS H-1'!$F$10="6% (Medio)",ROUND('Tabla de Amortizacion'!D23,15),IF('CALCULADORA TIS PESOS H-1'!$F$10="10% (Medio Alto)",ROUND('Tabla de Amortizacion'!F23,15),IF('CALCULADORA TIS PESOS H-1'!$F$10="14% (Alto)",ROUND('Tabla de Amortizacion'!H23,15),IF('CALCULADORA TIS PESOS H-1'!$F$10="20%_",ROUND('Tabla de Amortizacion'!J23,15),ROUND('Tabla de Amortizacion'!L23,15))))))</f>
        <v>0.01479352</v>
      </c>
    </row>
    <row r="23" spans="1:2" ht="12.75">
      <c r="A23" s="29">
        <f t="shared" si="0"/>
        <v>43380</v>
      </c>
      <c r="B23" s="89">
        <f>IF('CALCULADORA TIS PESOS H-1'!$F$10="Contractual",ROUND('Tabla de Amortizacion'!B24,15),IF('CALCULADORA TIS PESOS H-1'!$F$10="6% (Medio)",ROUND('Tabla de Amortizacion'!D24,15),IF('CALCULADORA TIS PESOS H-1'!$F$10="10% (Medio Alto)",ROUND('Tabla de Amortizacion'!F24,15),IF('CALCULADORA TIS PESOS H-1'!$F$10="14% (Alto)",ROUND('Tabla de Amortizacion'!H24,15),IF('CALCULADORA TIS PESOS H-1'!$F$10="20%_",ROUND('Tabla de Amortizacion'!J24,15),ROUND('Tabla de Amortizacion'!L24,15))))))</f>
        <v>0.0136245</v>
      </c>
    </row>
    <row r="24" spans="1:2" ht="12.75">
      <c r="A24" s="29">
        <f t="shared" si="0"/>
        <v>43411</v>
      </c>
      <c r="B24" s="89">
        <f>IF('CALCULADORA TIS PESOS H-1'!$F$10="Contractual",ROUND('Tabla de Amortizacion'!B25,15),IF('CALCULADORA TIS PESOS H-1'!$F$10="6% (Medio)",ROUND('Tabla de Amortizacion'!D25,15),IF('CALCULADORA TIS PESOS H-1'!$F$10="10% (Medio Alto)",ROUND('Tabla de Amortizacion'!F25,15),IF('CALCULADORA TIS PESOS H-1'!$F$10="14% (Alto)",ROUND('Tabla de Amortizacion'!H25,15),IF('CALCULADORA TIS PESOS H-1'!$F$10="20%_",ROUND('Tabla de Amortizacion'!J25,15),ROUND('Tabla de Amortizacion'!L25,15))))))</f>
        <v>0.01186054</v>
      </c>
    </row>
    <row r="25" spans="1:2" ht="12.75">
      <c r="A25" s="29">
        <f t="shared" si="0"/>
        <v>43441</v>
      </c>
      <c r="B25" s="89">
        <f>IF('CALCULADORA TIS PESOS H-1'!$F$10="Contractual",ROUND('Tabla de Amortizacion'!B26,15),IF('CALCULADORA TIS PESOS H-1'!$F$10="6% (Medio)",ROUND('Tabla de Amortizacion'!D26,15),IF('CALCULADORA TIS PESOS H-1'!$F$10="10% (Medio Alto)",ROUND('Tabla de Amortizacion'!F26,15),IF('CALCULADORA TIS PESOS H-1'!$F$10="14% (Alto)",ROUND('Tabla de Amortizacion'!H26,15),IF('CALCULADORA TIS PESOS H-1'!$F$10="20%_",ROUND('Tabla de Amortizacion'!J26,15),ROUND('Tabla de Amortizacion'!L26,15))))))</f>
        <v>0.01407158</v>
      </c>
    </row>
    <row r="26" spans="1:2" ht="12.75">
      <c r="A26" s="29">
        <f t="shared" si="0"/>
        <v>43472</v>
      </c>
      <c r="B26" s="89">
        <f>IF('CALCULADORA TIS PESOS H-1'!$F$10="Contractual",ROUND('Tabla de Amortizacion'!B27,15),IF('CALCULADORA TIS PESOS H-1'!$F$10="6% (Medio)",ROUND('Tabla de Amortizacion'!D27,15),IF('CALCULADORA TIS PESOS H-1'!$F$10="10% (Medio Alto)",ROUND('Tabla de Amortizacion'!F27,15),IF('CALCULADORA TIS PESOS H-1'!$F$10="14% (Alto)",ROUND('Tabla de Amortizacion'!H27,15),IF('CALCULADORA TIS PESOS H-1'!$F$10="20%_",ROUND('Tabla de Amortizacion'!J27,15),ROUND('Tabla de Amortizacion'!L27,15))))))</f>
        <v>0.01345364</v>
      </c>
    </row>
    <row r="27" spans="1:2" ht="12.75">
      <c r="A27" s="29">
        <f t="shared" si="0"/>
        <v>43503</v>
      </c>
      <c r="B27" s="89">
        <f>IF('CALCULADORA TIS PESOS H-1'!$F$10="Contractual",ROUND('Tabla de Amortizacion'!B28,15),IF('CALCULADORA TIS PESOS H-1'!$F$10="6% (Medio)",ROUND('Tabla de Amortizacion'!D28,15),IF('CALCULADORA TIS PESOS H-1'!$F$10="10% (Medio Alto)",ROUND('Tabla de Amortizacion'!F28,15),IF('CALCULADORA TIS PESOS H-1'!$F$10="14% (Alto)",ROUND('Tabla de Amortizacion'!H28,15),IF('CALCULADORA TIS PESOS H-1'!$F$10="20%_",ROUND('Tabla de Amortizacion'!J28,15),ROUND('Tabla de Amortizacion'!L28,15))))))</f>
        <v>0.0108372</v>
      </c>
    </row>
    <row r="28" spans="1:2" ht="12.75">
      <c r="A28" s="29">
        <f t="shared" si="0"/>
        <v>43531</v>
      </c>
      <c r="B28" s="89">
        <f>IF('CALCULADORA TIS PESOS H-1'!$F$10="Contractual",ROUND('Tabla de Amortizacion'!B29,15),IF('CALCULADORA TIS PESOS H-1'!$F$10="6% (Medio)",ROUND('Tabla de Amortizacion'!D29,15),IF('CALCULADORA TIS PESOS H-1'!$F$10="10% (Medio Alto)",ROUND('Tabla de Amortizacion'!F29,15),IF('CALCULADORA TIS PESOS H-1'!$F$10="14% (Alto)",ROUND('Tabla de Amortizacion'!H29,15),IF('CALCULADORA TIS PESOS H-1'!$F$10="20%_",ROUND('Tabla de Amortizacion'!J29,15),ROUND('Tabla de Amortizacion'!L29,15))))))</f>
        <v>0.01203244</v>
      </c>
    </row>
    <row r="29" spans="1:2" ht="12.75">
      <c r="A29" s="29">
        <f t="shared" si="0"/>
        <v>43562</v>
      </c>
      <c r="B29" s="89">
        <f>IF('CALCULADORA TIS PESOS H-1'!$F$10="Contractual",ROUND('Tabla de Amortizacion'!B30,15),IF('CALCULADORA TIS PESOS H-1'!$F$10="6% (Medio)",ROUND('Tabla de Amortizacion'!D30,15),IF('CALCULADORA TIS PESOS H-1'!$F$10="10% (Medio Alto)",ROUND('Tabla de Amortizacion'!F30,15),IF('CALCULADORA TIS PESOS H-1'!$F$10="14% (Alto)",ROUND('Tabla de Amortizacion'!H30,15),IF('CALCULADORA TIS PESOS H-1'!$F$10="20%_",ROUND('Tabla de Amortizacion'!J30,15),ROUND('Tabla de Amortizacion'!L30,15))))))</f>
        <v>0.01551368</v>
      </c>
    </row>
    <row r="30" spans="1:2" ht="12.75">
      <c r="A30" s="29">
        <f t="shared" si="0"/>
        <v>43592</v>
      </c>
      <c r="B30" s="89">
        <f>IF('CALCULADORA TIS PESOS H-1'!$F$10="Contractual",ROUND('Tabla de Amortizacion'!B31,15),IF('CALCULADORA TIS PESOS H-1'!$F$10="6% (Medio)",ROUND('Tabla de Amortizacion'!D31,15),IF('CALCULADORA TIS PESOS H-1'!$F$10="10% (Medio Alto)",ROUND('Tabla de Amortizacion'!F31,15),IF('CALCULADORA TIS PESOS H-1'!$F$10="14% (Alto)",ROUND('Tabla de Amortizacion'!H31,15),IF('CALCULADORA TIS PESOS H-1'!$F$10="20%_",ROUND('Tabla de Amortizacion'!J31,15),ROUND('Tabla de Amortizacion'!L31,15))))))</f>
        <v>0.01722625</v>
      </c>
    </row>
    <row r="31" spans="1:2" ht="12.75">
      <c r="A31" s="29">
        <f t="shared" si="0"/>
        <v>43623</v>
      </c>
      <c r="B31" s="89">
        <f>IF('CALCULADORA TIS PESOS H-1'!$F$10="Contractual",ROUND('Tabla de Amortizacion'!B32,15),IF('CALCULADORA TIS PESOS H-1'!$F$10="6% (Medio)",ROUND('Tabla de Amortizacion'!D32,15),IF('CALCULADORA TIS PESOS H-1'!$F$10="10% (Medio Alto)",ROUND('Tabla de Amortizacion'!F32,15),IF('CALCULADORA TIS PESOS H-1'!$F$10="14% (Alto)",ROUND('Tabla de Amortizacion'!H32,15),IF('CALCULADORA TIS PESOS H-1'!$F$10="20%_",ROUND('Tabla de Amortizacion'!J32,15),ROUND('Tabla de Amortizacion'!L32,15))))))</f>
        <v>0.01295079</v>
      </c>
    </row>
    <row r="32" spans="1:2" ht="12.75">
      <c r="A32" s="29">
        <f t="shared" si="0"/>
        <v>43653</v>
      </c>
      <c r="B32" s="89">
        <f>IF('CALCULADORA TIS PESOS H-1'!$F$10="Contractual",ROUND('Tabla de Amortizacion'!B33,15),IF('CALCULADORA TIS PESOS H-1'!$F$10="6% (Medio)",ROUND('Tabla de Amortizacion'!D33,15),IF('CALCULADORA TIS PESOS H-1'!$F$10="10% (Medio Alto)",ROUND('Tabla de Amortizacion'!F33,15),IF('CALCULADORA TIS PESOS H-1'!$F$10="14% (Alto)",ROUND('Tabla de Amortizacion'!H33,15),IF('CALCULADORA TIS PESOS H-1'!$F$10="20%_",ROUND('Tabla de Amortizacion'!J33,15),ROUND('Tabla de Amortizacion'!L33,15))))))</f>
        <v>0.01486068</v>
      </c>
    </row>
    <row r="33" spans="1:2" ht="12.75">
      <c r="A33" s="29">
        <f t="shared" si="0"/>
        <v>43684</v>
      </c>
      <c r="B33" s="89">
        <f>IF('CALCULADORA TIS PESOS H-1'!$F$10="Contractual",ROUND('Tabla de Amortizacion'!B34,15),IF('CALCULADORA TIS PESOS H-1'!$F$10="6% (Medio)",ROUND('Tabla de Amortizacion'!D34,15),IF('CALCULADORA TIS PESOS H-1'!$F$10="10% (Medio Alto)",ROUND('Tabla de Amortizacion'!F34,15),IF('CALCULADORA TIS PESOS H-1'!$F$10="14% (Alto)",ROUND('Tabla de Amortizacion'!H34,15),IF('CALCULADORA TIS PESOS H-1'!$F$10="20%_",ROUND('Tabla de Amortizacion'!J34,15),ROUND('Tabla de Amortizacion'!L34,15))))))</f>
        <v>0.01075147</v>
      </c>
    </row>
    <row r="34" spans="1:2" ht="12.75">
      <c r="A34" s="29">
        <f t="shared" si="0"/>
        <v>43715</v>
      </c>
      <c r="B34" s="89">
        <f>IF('CALCULADORA TIS PESOS H-1'!$F$10="Contractual",ROUND('Tabla de Amortizacion'!B35,15),IF('CALCULADORA TIS PESOS H-1'!$F$10="6% (Medio)",ROUND('Tabla de Amortizacion'!D35,15),IF('CALCULADORA TIS PESOS H-1'!$F$10="10% (Medio Alto)",ROUND('Tabla de Amortizacion'!F35,15),IF('CALCULADORA TIS PESOS H-1'!$F$10="14% (Alto)",ROUND('Tabla de Amortizacion'!H35,15),IF('CALCULADORA TIS PESOS H-1'!$F$10="20%_",ROUND('Tabla de Amortizacion'!J35,15),ROUND('Tabla de Amortizacion'!L35,15))))))</f>
        <v>0.01888139</v>
      </c>
    </row>
    <row r="35" spans="1:2" ht="12.75">
      <c r="A35" s="29">
        <f aca="true" t="shared" si="1" ref="A35:A66">_XLL.FECHA.MES(A34,1)</f>
        <v>43745</v>
      </c>
      <c r="B35" s="89">
        <f>IF('CALCULADORA TIS PESOS H-1'!$F$10="Contractual",ROUND('Tabla de Amortizacion'!B36,15),IF('CALCULADORA TIS PESOS H-1'!$F$10="6% (Medio)",ROUND('Tabla de Amortizacion'!D36,15),IF('CALCULADORA TIS PESOS H-1'!$F$10="10% (Medio Alto)",ROUND('Tabla de Amortizacion'!F36,15),IF('CALCULADORA TIS PESOS H-1'!$F$10="14% (Alto)",ROUND('Tabla de Amortizacion'!H36,15),IF('CALCULADORA TIS PESOS H-1'!$F$10="20%_",ROUND('Tabla de Amortizacion'!J36,15),ROUND('Tabla de Amortizacion'!L36,15))))))</f>
        <v>0.01313316</v>
      </c>
    </row>
    <row r="36" spans="1:2" ht="12.75">
      <c r="A36" s="29">
        <f t="shared" si="1"/>
        <v>43776</v>
      </c>
      <c r="B36" s="89">
        <f>IF('CALCULADORA TIS PESOS H-1'!$F$10="Contractual",ROUND('Tabla de Amortizacion'!B37,15),IF('CALCULADORA TIS PESOS H-1'!$F$10="6% (Medio)",ROUND('Tabla de Amortizacion'!D37,15),IF('CALCULADORA TIS PESOS H-1'!$F$10="10% (Medio Alto)",ROUND('Tabla de Amortizacion'!F37,15),IF('CALCULADORA TIS PESOS H-1'!$F$10="14% (Alto)",ROUND('Tabla de Amortizacion'!H37,15),IF('CALCULADORA TIS PESOS H-1'!$F$10="20%_",ROUND('Tabla de Amortizacion'!J37,15),ROUND('Tabla de Amortizacion'!L37,15))))))</f>
        <v>0.01342858</v>
      </c>
    </row>
    <row r="37" spans="1:2" ht="12.75">
      <c r="A37" s="29">
        <f t="shared" si="1"/>
        <v>43806</v>
      </c>
      <c r="B37" s="89">
        <f>IF('CALCULADORA TIS PESOS H-1'!$F$10="Contractual",ROUND('Tabla de Amortizacion'!B38,15),IF('CALCULADORA TIS PESOS H-1'!$F$10="6% (Medio)",ROUND('Tabla de Amortizacion'!D38,15),IF('CALCULADORA TIS PESOS H-1'!$F$10="10% (Medio Alto)",ROUND('Tabla de Amortizacion'!F38,15),IF('CALCULADORA TIS PESOS H-1'!$F$10="14% (Alto)",ROUND('Tabla de Amortizacion'!H38,15),IF('CALCULADORA TIS PESOS H-1'!$F$10="20%_",ROUND('Tabla de Amortizacion'!J38,15),ROUND('Tabla de Amortizacion'!L38,15))))))</f>
        <v>0.0148215</v>
      </c>
    </row>
    <row r="38" spans="1:2" ht="12.75">
      <c r="A38" s="29">
        <f t="shared" si="1"/>
        <v>43837</v>
      </c>
      <c r="B38" s="89">
        <f>IF('CALCULADORA TIS PESOS H-1'!$F$10="Contractual",ROUND('Tabla de Amortizacion'!B39,15),IF('CALCULADORA TIS PESOS H-1'!$F$10="6% (Medio)",ROUND('Tabla de Amortizacion'!D39,15),IF('CALCULADORA TIS PESOS H-1'!$F$10="10% (Medio Alto)",ROUND('Tabla de Amortizacion'!F39,15),IF('CALCULADORA TIS PESOS H-1'!$F$10="14% (Alto)",ROUND('Tabla de Amortizacion'!H39,15),IF('CALCULADORA TIS PESOS H-1'!$F$10="20%_",ROUND('Tabla de Amortizacion'!J39,15),ROUND('Tabla de Amortizacion'!L39,15))))))</f>
        <v>0.01572056</v>
      </c>
    </row>
    <row r="39" spans="1:2" ht="12.75">
      <c r="A39" s="29">
        <f t="shared" si="1"/>
        <v>43868</v>
      </c>
      <c r="B39" s="89">
        <f>IF('CALCULADORA TIS PESOS H-1'!$F$10="Contractual",ROUND('Tabla de Amortizacion'!B40,15),IF('CALCULADORA TIS PESOS H-1'!$F$10="6% (Medio)",ROUND('Tabla de Amortizacion'!D40,15),IF('CALCULADORA TIS PESOS H-1'!$F$10="10% (Medio Alto)",ROUND('Tabla de Amortizacion'!F40,15),IF('CALCULADORA TIS PESOS H-1'!$F$10="14% (Alto)",ROUND('Tabla de Amortizacion'!H40,15),IF('CALCULADORA TIS PESOS H-1'!$F$10="20%_",ROUND('Tabla de Amortizacion'!J40,15),ROUND('Tabla de Amortizacion'!L40,15))))))</f>
        <v>0.01568835</v>
      </c>
    </row>
    <row r="40" spans="1:2" ht="12.75">
      <c r="A40" s="29">
        <f t="shared" si="1"/>
        <v>43897</v>
      </c>
      <c r="B40" s="89">
        <f>IF('CALCULADORA TIS PESOS H-1'!$F$10="Contractual",ROUND('Tabla de Amortizacion'!B41,15),IF('CALCULADORA TIS PESOS H-1'!$F$10="6% (Medio)",ROUND('Tabla de Amortizacion'!D41,15),IF('CALCULADORA TIS PESOS H-1'!$F$10="10% (Medio Alto)",ROUND('Tabla de Amortizacion'!F41,15),IF('CALCULADORA TIS PESOS H-1'!$F$10="14% (Alto)",ROUND('Tabla de Amortizacion'!H41,15),IF('CALCULADORA TIS PESOS H-1'!$F$10="20%_",ROUND('Tabla de Amortizacion'!J41,15),ROUND('Tabla de Amortizacion'!L41,15))))))</f>
        <v>0.01106182</v>
      </c>
    </row>
    <row r="41" spans="1:2" ht="12.75">
      <c r="A41" s="29">
        <f t="shared" si="1"/>
        <v>43928</v>
      </c>
      <c r="B41" s="89">
        <f>IF('CALCULADORA TIS PESOS H-1'!$F$10="Contractual",ROUND('Tabla de Amortizacion'!B42,15),IF('CALCULADORA TIS PESOS H-1'!$F$10="6% (Medio)",ROUND('Tabla de Amortizacion'!D42,15),IF('CALCULADORA TIS PESOS H-1'!$F$10="10% (Medio Alto)",ROUND('Tabla de Amortizacion'!F42,15),IF('CALCULADORA TIS PESOS H-1'!$F$10="14% (Alto)",ROUND('Tabla de Amortizacion'!H42,15),IF('CALCULADORA TIS PESOS H-1'!$F$10="20%_",ROUND('Tabla de Amortizacion'!J42,15),ROUND('Tabla de Amortizacion'!L42,15))))))</f>
        <v>0.00858464</v>
      </c>
    </row>
    <row r="42" spans="1:2" ht="12.75">
      <c r="A42" s="29">
        <f t="shared" si="1"/>
        <v>43958</v>
      </c>
      <c r="B42" s="89">
        <f>IF('CALCULADORA TIS PESOS H-1'!$F$10="Contractual",ROUND('Tabla de Amortizacion'!B43,15),IF('CALCULADORA TIS PESOS H-1'!$F$10="6% (Medio)",ROUND('Tabla de Amortizacion'!D43,15),IF('CALCULADORA TIS PESOS H-1'!$F$10="10% (Medio Alto)",ROUND('Tabla de Amortizacion'!F43,15),IF('CALCULADORA TIS PESOS H-1'!$F$10="14% (Alto)",ROUND('Tabla de Amortizacion'!H43,15),IF('CALCULADORA TIS PESOS H-1'!$F$10="20%_",ROUND('Tabla de Amortizacion'!J43,15),ROUND('Tabla de Amortizacion'!L43,15))))))</f>
        <v>0.00746789</v>
      </c>
    </row>
    <row r="43" spans="1:2" ht="12.75">
      <c r="A43" s="29">
        <f t="shared" si="1"/>
        <v>43989</v>
      </c>
      <c r="B43" s="89">
        <f>IF('CALCULADORA TIS PESOS H-1'!$F$10="Contractual",ROUND('Tabla de Amortizacion'!B44,15),IF('CALCULADORA TIS PESOS H-1'!$F$10="6% (Medio)",ROUND('Tabla de Amortizacion'!D44,15),IF('CALCULADORA TIS PESOS H-1'!$F$10="10% (Medio Alto)",ROUND('Tabla de Amortizacion'!F44,15),IF('CALCULADORA TIS PESOS H-1'!$F$10="14% (Alto)",ROUND('Tabla de Amortizacion'!H44,15),IF('CALCULADORA TIS PESOS H-1'!$F$10="20%_",ROUND('Tabla de Amortizacion'!J44,15),ROUND('Tabla de Amortizacion'!L44,15))))))</f>
        <v>0.00475281</v>
      </c>
    </row>
    <row r="44" spans="1:2" ht="12.75">
      <c r="A44" s="29">
        <f t="shared" si="1"/>
        <v>44019</v>
      </c>
      <c r="B44" s="89">
        <f>IF('CALCULADORA TIS PESOS H-1'!$F$10="Contractual",ROUND('Tabla de Amortizacion'!B45,15),IF('CALCULADORA TIS PESOS H-1'!$F$10="6% (Medio)",ROUND('Tabla de Amortizacion'!D45,15),IF('CALCULADORA TIS PESOS H-1'!$F$10="10% (Medio Alto)",ROUND('Tabla de Amortizacion'!F45,15),IF('CALCULADORA TIS PESOS H-1'!$F$10="14% (Alto)",ROUND('Tabla de Amortizacion'!H45,15),IF('CALCULADORA TIS PESOS H-1'!$F$10="20%_",ROUND('Tabla de Amortizacion'!J45,15),ROUND('Tabla de Amortizacion'!L45,15))))))</f>
        <v>0.00720935</v>
      </c>
    </row>
    <row r="45" spans="1:2" ht="12.75">
      <c r="A45" s="29">
        <f t="shared" si="1"/>
        <v>44050</v>
      </c>
      <c r="B45" s="89">
        <f>IF('CALCULADORA TIS PESOS H-1'!$F$10="Contractual",ROUND('Tabla de Amortizacion'!B46,15),IF('CALCULADORA TIS PESOS H-1'!$F$10="6% (Medio)",ROUND('Tabla de Amortizacion'!D46,15),IF('CALCULADORA TIS PESOS H-1'!$F$10="10% (Medio Alto)",ROUND('Tabla de Amortizacion'!F46,15),IF('CALCULADORA TIS PESOS H-1'!$F$10="14% (Alto)",ROUND('Tabla de Amortizacion'!H46,15),IF('CALCULADORA TIS PESOS H-1'!$F$10="20%_",ROUND('Tabla de Amortizacion'!J46,15),ROUND('Tabla de Amortizacion'!L46,15))))))</f>
        <v>0.00980244</v>
      </c>
    </row>
    <row r="46" spans="1:2" ht="12.75">
      <c r="A46" s="29">
        <f t="shared" si="1"/>
        <v>44081</v>
      </c>
      <c r="B46" s="89">
        <f>IF('CALCULADORA TIS PESOS H-1'!$F$10="Contractual",ROUND('Tabla de Amortizacion'!B47,15),IF('CALCULADORA TIS PESOS H-1'!$F$10="6% (Medio)",ROUND('Tabla de Amortizacion'!D47,15),IF('CALCULADORA TIS PESOS H-1'!$F$10="10% (Medio Alto)",ROUND('Tabla de Amortizacion'!F47,15),IF('CALCULADORA TIS PESOS H-1'!$F$10="14% (Alto)",ROUND('Tabla de Amortizacion'!H47,15),IF('CALCULADORA TIS PESOS H-1'!$F$10="20%_",ROUND('Tabla de Amortizacion'!J47,15),ROUND('Tabla de Amortizacion'!L47,15))))))</f>
        <v>0.01063472</v>
      </c>
    </row>
    <row r="47" spans="1:2" ht="12.75">
      <c r="A47" s="29">
        <f t="shared" si="1"/>
        <v>44111</v>
      </c>
      <c r="B47" s="89">
        <f>IF('CALCULADORA TIS PESOS H-1'!$F$10="Contractual",ROUND('Tabla de Amortizacion'!B48,15),IF('CALCULADORA TIS PESOS H-1'!$F$10="6% (Medio)",ROUND('Tabla de Amortizacion'!D48,15),IF('CALCULADORA TIS PESOS H-1'!$F$10="10% (Medio Alto)",ROUND('Tabla de Amortizacion'!F48,15),IF('CALCULADORA TIS PESOS H-1'!$F$10="14% (Alto)",ROUND('Tabla de Amortizacion'!H48,15),IF('CALCULADORA TIS PESOS H-1'!$F$10="20%_",ROUND('Tabla de Amortizacion'!J48,15),ROUND('Tabla de Amortizacion'!L48,15))))))</f>
        <v>0.01286901</v>
      </c>
    </row>
    <row r="48" spans="1:2" ht="12.75">
      <c r="A48" s="29">
        <f t="shared" si="1"/>
        <v>44142</v>
      </c>
      <c r="B48" s="89">
        <f>IF('CALCULADORA TIS PESOS H-1'!$F$10="Contractual",ROUND('Tabla de Amortizacion'!B49,15),IF('CALCULADORA TIS PESOS H-1'!$F$10="6% (Medio)",ROUND('Tabla de Amortizacion'!D49,15),IF('CALCULADORA TIS PESOS H-1'!$F$10="10% (Medio Alto)",ROUND('Tabla de Amortizacion'!F49,15),IF('CALCULADORA TIS PESOS H-1'!$F$10="14% (Alto)",ROUND('Tabla de Amortizacion'!H49,15),IF('CALCULADORA TIS PESOS H-1'!$F$10="20%_",ROUND('Tabla de Amortizacion'!J49,15),ROUND('Tabla de Amortizacion'!L49,15))))))</f>
        <v>0.01165867</v>
      </c>
    </row>
    <row r="49" spans="1:2" ht="12.75">
      <c r="A49" s="29">
        <f t="shared" si="1"/>
        <v>44172</v>
      </c>
      <c r="B49" s="89">
        <f>IF('CALCULADORA TIS PESOS H-1'!$F$10="Contractual",ROUND('Tabla de Amortizacion'!B50,15),IF('CALCULADORA TIS PESOS H-1'!$F$10="6% (Medio)",ROUND('Tabla de Amortizacion'!D50,15),IF('CALCULADORA TIS PESOS H-1'!$F$10="10% (Medio Alto)",ROUND('Tabla de Amortizacion'!F50,15),IF('CALCULADORA TIS PESOS H-1'!$F$10="14% (Alto)",ROUND('Tabla de Amortizacion'!H50,15),IF('CALCULADORA TIS PESOS H-1'!$F$10="20%_",ROUND('Tabla de Amortizacion'!J50,15),ROUND('Tabla de Amortizacion'!L50,15))))))</f>
        <v>0.01141385</v>
      </c>
    </row>
    <row r="50" spans="1:2" ht="12.75">
      <c r="A50" s="29">
        <f t="shared" si="1"/>
        <v>44203</v>
      </c>
      <c r="B50" s="89">
        <f>IF('CALCULADORA TIS PESOS H-1'!$F$10="Contractual",ROUND('Tabla de Amortizacion'!B51,15),IF('CALCULADORA TIS PESOS H-1'!$F$10="6% (Medio)",ROUND('Tabla de Amortizacion'!D51,15),IF('CALCULADORA TIS PESOS H-1'!$F$10="10% (Medio Alto)",ROUND('Tabla de Amortizacion'!F51,15),IF('CALCULADORA TIS PESOS H-1'!$F$10="14% (Alto)",ROUND('Tabla de Amortizacion'!H51,15),IF('CALCULADORA TIS PESOS H-1'!$F$10="20%_",ROUND('Tabla de Amortizacion'!J51,15),ROUND('Tabla de Amortizacion'!L51,15))))))</f>
        <v>0.01465664</v>
      </c>
    </row>
    <row r="51" spans="1:2" ht="12.75">
      <c r="A51" s="29">
        <f t="shared" si="1"/>
        <v>44234</v>
      </c>
      <c r="B51" s="89">
        <f>IF('CALCULADORA TIS PESOS H-1'!$F$10="Contractual",ROUND('Tabla de Amortizacion'!B52,15),IF('CALCULADORA TIS PESOS H-1'!$F$10="6% (Medio)",ROUND('Tabla de Amortizacion'!D52,15),IF('CALCULADORA TIS PESOS H-1'!$F$10="10% (Medio Alto)",ROUND('Tabla de Amortizacion'!F52,15),IF('CALCULADORA TIS PESOS H-1'!$F$10="14% (Alto)",ROUND('Tabla de Amortizacion'!H52,15),IF('CALCULADORA TIS PESOS H-1'!$F$10="20%_",ROUND('Tabla de Amortizacion'!J52,15),ROUND('Tabla de Amortizacion'!L52,15))))))</f>
        <v>0.01924566</v>
      </c>
    </row>
    <row r="52" spans="1:2" ht="12.75">
      <c r="A52" s="29">
        <f t="shared" si="1"/>
        <v>44262</v>
      </c>
      <c r="B52" s="89">
        <f>IF('CALCULADORA TIS PESOS H-1'!$F$10="Contractual",ROUND('Tabla de Amortizacion'!B53,15),IF('CALCULADORA TIS PESOS H-1'!$F$10="6% (Medio)",ROUND('Tabla de Amortizacion'!D53,15),IF('CALCULADORA TIS PESOS H-1'!$F$10="10% (Medio Alto)",ROUND('Tabla de Amortizacion'!F53,15),IF('CALCULADORA TIS PESOS H-1'!$F$10="14% (Alto)",ROUND('Tabla de Amortizacion'!H53,15),IF('CALCULADORA TIS PESOS H-1'!$F$10="20%_",ROUND('Tabla de Amortizacion'!J53,15),ROUND('Tabla de Amortizacion'!L53,15))))))</f>
        <v>0.01519714</v>
      </c>
    </row>
    <row r="53" spans="1:2" ht="12.75">
      <c r="A53" s="29">
        <f t="shared" si="1"/>
        <v>44293</v>
      </c>
      <c r="B53" s="89">
        <f>IF('CALCULADORA TIS PESOS H-1'!$F$10="Contractual",ROUND('Tabla de Amortizacion'!B54,15),IF('CALCULADORA TIS PESOS H-1'!$F$10="6% (Medio)",ROUND('Tabla de Amortizacion'!D54,15),IF('CALCULADORA TIS PESOS H-1'!$F$10="10% (Medio Alto)",ROUND('Tabla de Amortizacion'!F54,15),IF('CALCULADORA TIS PESOS H-1'!$F$10="14% (Alto)",ROUND('Tabla de Amortizacion'!H54,15),IF('CALCULADORA TIS PESOS H-1'!$F$10="20%_",ROUND('Tabla de Amortizacion'!J54,15),ROUND('Tabla de Amortizacion'!L54,15))))))</f>
        <v>0.01421483</v>
      </c>
    </row>
    <row r="54" spans="1:2" ht="12.75">
      <c r="A54" s="29">
        <f t="shared" si="1"/>
        <v>44323</v>
      </c>
      <c r="B54" s="89">
        <f>IF('CALCULADORA TIS PESOS H-1'!$F$10="Contractual",ROUND('Tabla de Amortizacion'!B55,15),IF('CALCULADORA TIS PESOS H-1'!$F$10="6% (Medio)",ROUND('Tabla de Amortizacion'!D55,15),IF('CALCULADORA TIS PESOS H-1'!$F$10="10% (Medio Alto)",ROUND('Tabla de Amortizacion'!F55,15),IF('CALCULADORA TIS PESOS H-1'!$F$10="14% (Alto)",ROUND('Tabla de Amortizacion'!H55,15),IF('CALCULADORA TIS PESOS H-1'!$F$10="20%_",ROUND('Tabla de Amortizacion'!J55,15),ROUND('Tabla de Amortizacion'!L55,15))))))</f>
        <v>0.0178434</v>
      </c>
    </row>
    <row r="55" spans="1:2" ht="12.75">
      <c r="A55" s="29">
        <f t="shared" si="1"/>
        <v>44354</v>
      </c>
      <c r="B55" s="89">
        <f>IF('CALCULADORA TIS PESOS H-1'!$F$10="Contractual",ROUND('Tabla de Amortizacion'!B56,15),IF('CALCULADORA TIS PESOS H-1'!$F$10="6% (Medio)",ROUND('Tabla de Amortizacion'!D56,15),IF('CALCULADORA TIS PESOS H-1'!$F$10="10% (Medio Alto)",ROUND('Tabla de Amortizacion'!F56,15),IF('CALCULADORA TIS PESOS H-1'!$F$10="14% (Alto)",ROUND('Tabla de Amortizacion'!H56,15),IF('CALCULADORA TIS PESOS H-1'!$F$10="20%_",ROUND('Tabla de Amortizacion'!J56,15),ROUND('Tabla de Amortizacion'!L56,15))))))</f>
        <v>0.01137641</v>
      </c>
    </row>
    <row r="56" spans="1:2" ht="12.75">
      <c r="A56" s="29">
        <f t="shared" si="1"/>
        <v>44384</v>
      </c>
      <c r="B56" s="89">
        <f>IF('CALCULADORA TIS PESOS H-1'!$F$10="Contractual",ROUND('Tabla de Amortizacion'!B57,15),IF('CALCULADORA TIS PESOS H-1'!$F$10="6% (Medio)",ROUND('Tabla de Amortizacion'!D57,15),IF('CALCULADORA TIS PESOS H-1'!$F$10="10% (Medio Alto)",ROUND('Tabla de Amortizacion'!F57,15),IF('CALCULADORA TIS PESOS H-1'!$F$10="14% (Alto)",ROUND('Tabla de Amortizacion'!H57,15),IF('CALCULADORA TIS PESOS H-1'!$F$10="20%_",ROUND('Tabla de Amortizacion'!J57,15),ROUND('Tabla de Amortizacion'!L57,15))))))</f>
        <v>0.01666539</v>
      </c>
    </row>
    <row r="57" spans="1:2" ht="12.75">
      <c r="A57" s="29">
        <f t="shared" si="1"/>
        <v>44415</v>
      </c>
      <c r="B57" s="89">
        <f>IF('CALCULADORA TIS PESOS H-1'!$F$10="Contractual",ROUND('Tabla de Amortizacion'!B58,15),IF('CALCULADORA TIS PESOS H-1'!$F$10="6% (Medio)",ROUND('Tabla de Amortizacion'!D58,15),IF('CALCULADORA TIS PESOS H-1'!$F$10="10% (Medio Alto)",ROUND('Tabla de Amortizacion'!F58,15),IF('CALCULADORA TIS PESOS H-1'!$F$10="14% (Alto)",ROUND('Tabla de Amortizacion'!H58,15),IF('CALCULADORA TIS PESOS H-1'!$F$10="20%_",ROUND('Tabla de Amortizacion'!J58,15),ROUND('Tabla de Amortizacion'!L58,15))))))</f>
        <v>0.0148387</v>
      </c>
    </row>
    <row r="58" spans="1:2" ht="12.75">
      <c r="A58" s="29">
        <f t="shared" si="1"/>
        <v>44446</v>
      </c>
      <c r="B58" s="89">
        <f>IF('CALCULADORA TIS PESOS H-1'!$F$10="Contractual",ROUND('Tabla de Amortizacion'!B59,15),IF('CALCULADORA TIS PESOS H-1'!$F$10="6% (Medio)",ROUND('Tabla de Amortizacion'!D59,15),IF('CALCULADORA TIS PESOS H-1'!$F$10="10% (Medio Alto)",ROUND('Tabla de Amortizacion'!F59,15),IF('CALCULADORA TIS PESOS H-1'!$F$10="14% (Alto)",ROUND('Tabla de Amortizacion'!H59,15),IF('CALCULADORA TIS PESOS H-1'!$F$10="20%_",ROUND('Tabla de Amortizacion'!J59,15),ROUND('Tabla de Amortizacion'!L59,15))))))</f>
        <v>0.01213439</v>
      </c>
    </row>
    <row r="59" spans="1:2" ht="12.75">
      <c r="A59" s="29">
        <f t="shared" si="1"/>
        <v>44476</v>
      </c>
      <c r="B59" s="89">
        <f>IF('CALCULADORA TIS PESOS H-1'!$F$10="Contractual",ROUND('Tabla de Amortizacion'!B60,15),IF('CALCULADORA TIS PESOS H-1'!$F$10="6% (Medio)",ROUND('Tabla de Amortizacion'!D60,15),IF('CALCULADORA TIS PESOS H-1'!$F$10="10% (Medio Alto)",ROUND('Tabla de Amortizacion'!F60,15),IF('CALCULADORA TIS PESOS H-1'!$F$10="14% (Alto)",ROUND('Tabla de Amortizacion'!H60,15),IF('CALCULADORA TIS PESOS H-1'!$F$10="20%_",ROUND('Tabla de Amortizacion'!J60,15),ROUND('Tabla de Amortizacion'!L60,15))))))</f>
        <v>0.01816922</v>
      </c>
    </row>
    <row r="60" spans="1:2" ht="12.75">
      <c r="A60" s="29">
        <f t="shared" si="1"/>
        <v>44507</v>
      </c>
      <c r="B60" s="89">
        <f>IF('CALCULADORA TIS PESOS H-1'!$F$10="Contractual",ROUND('Tabla de Amortizacion'!B61,15),IF('CALCULADORA TIS PESOS H-1'!$F$10="6% (Medio)",ROUND('Tabla de Amortizacion'!D61,15),IF('CALCULADORA TIS PESOS H-1'!$F$10="10% (Medio Alto)",ROUND('Tabla de Amortizacion'!F61,15),IF('CALCULADORA TIS PESOS H-1'!$F$10="14% (Alto)",ROUND('Tabla de Amortizacion'!H61,15),IF('CALCULADORA TIS PESOS H-1'!$F$10="20%_",ROUND('Tabla de Amortizacion'!J61,15),ROUND('Tabla de Amortizacion'!L61,15))))))</f>
        <v>0.01338278</v>
      </c>
    </row>
    <row r="61" spans="1:2" ht="12.75">
      <c r="A61" s="29">
        <f t="shared" si="1"/>
        <v>44537</v>
      </c>
      <c r="B61" s="89">
        <f>IF('CALCULADORA TIS PESOS H-1'!$F$10="Contractual",ROUND('Tabla de Amortizacion'!B62,15),IF('CALCULADORA TIS PESOS H-1'!$F$10="6% (Medio)",ROUND('Tabla de Amortizacion'!D62,15),IF('CALCULADORA TIS PESOS H-1'!$F$10="10% (Medio Alto)",ROUND('Tabla de Amortizacion'!F62,15),IF('CALCULADORA TIS PESOS H-1'!$F$10="14% (Alto)",ROUND('Tabla de Amortizacion'!H62,15),IF('CALCULADORA TIS PESOS H-1'!$F$10="20%_",ROUND('Tabla de Amortizacion'!J62,15),ROUND('Tabla de Amortizacion'!L62,15))))))</f>
        <v>0.01069855</v>
      </c>
    </row>
    <row r="62" spans="1:2" ht="12.75">
      <c r="A62" s="29">
        <f t="shared" si="1"/>
        <v>44568</v>
      </c>
      <c r="B62" s="89">
        <f>IF('CALCULADORA TIS PESOS H-1'!$F$10="Contractual",ROUND('Tabla de Amortizacion'!B63,15),IF('CALCULADORA TIS PESOS H-1'!$F$10="6% (Medio)",ROUND('Tabla de Amortizacion'!D63,15),IF('CALCULADORA TIS PESOS H-1'!$F$10="10% (Medio Alto)",ROUND('Tabla de Amortizacion'!F63,15),IF('CALCULADORA TIS PESOS H-1'!$F$10="14% (Alto)",ROUND('Tabla de Amortizacion'!H63,15),IF('CALCULADORA TIS PESOS H-1'!$F$10="20%_",ROUND('Tabla de Amortizacion'!J63,15),ROUND('Tabla de Amortizacion'!L63,15))))))</f>
        <v>0.01367835</v>
      </c>
    </row>
    <row r="63" spans="1:2" ht="12.75">
      <c r="A63" s="29">
        <f t="shared" si="1"/>
        <v>44599</v>
      </c>
      <c r="B63" s="89">
        <f>IF('CALCULADORA TIS PESOS H-1'!$F$10="Contractual",ROUND('Tabla de Amortizacion'!B64,15),IF('CALCULADORA TIS PESOS H-1'!$F$10="6% (Medio)",ROUND('Tabla de Amortizacion'!D64,15),IF('CALCULADORA TIS PESOS H-1'!$F$10="10% (Medio Alto)",ROUND('Tabla de Amortizacion'!F64,15),IF('CALCULADORA TIS PESOS H-1'!$F$10="14% (Alto)",ROUND('Tabla de Amortizacion'!H64,15),IF('CALCULADORA TIS PESOS H-1'!$F$10="20%_",ROUND('Tabla de Amortizacion'!J64,15),ROUND('Tabla de Amortizacion'!L64,15))))))</f>
        <v>0.01319075</v>
      </c>
    </row>
    <row r="64" spans="1:2" ht="12.75">
      <c r="A64" s="29">
        <f t="shared" si="1"/>
        <v>44627</v>
      </c>
      <c r="B64" s="89">
        <f>IF('CALCULADORA TIS PESOS H-1'!$F$10="Contractual",ROUND('Tabla de Amortizacion'!B65,15),IF('CALCULADORA TIS PESOS H-1'!$F$10="6% (Medio)",ROUND('Tabla de Amortizacion'!D65,15),IF('CALCULADORA TIS PESOS H-1'!$F$10="10% (Medio Alto)",ROUND('Tabla de Amortizacion'!F65,15),IF('CALCULADORA TIS PESOS H-1'!$F$10="14% (Alto)",ROUND('Tabla de Amortizacion'!H65,15),IF('CALCULADORA TIS PESOS H-1'!$F$10="20%_",ROUND('Tabla de Amortizacion'!J65,15),ROUND('Tabla de Amortizacion'!L65,15))))))</f>
        <v>0.01195708</v>
      </c>
    </row>
    <row r="65" spans="1:2" ht="12.75">
      <c r="A65" s="29">
        <f t="shared" si="1"/>
        <v>44658</v>
      </c>
      <c r="B65" s="89">
        <f>IF('CALCULADORA TIS PESOS H-1'!$F$10="Contractual",ROUND('Tabla de Amortizacion'!B66,15),IF('CALCULADORA TIS PESOS H-1'!$F$10="6% (Medio)",ROUND('Tabla de Amortizacion'!D66,15),IF('CALCULADORA TIS PESOS H-1'!$F$10="10% (Medio Alto)",ROUND('Tabla de Amortizacion'!F66,15),IF('CALCULADORA TIS PESOS H-1'!$F$10="14% (Alto)",ROUND('Tabla de Amortizacion'!H66,15),IF('CALCULADORA TIS PESOS H-1'!$F$10="20%_",ROUND('Tabla de Amortizacion'!J66,15),ROUND('Tabla de Amortizacion'!L66,15))))))</f>
        <v>0.01545762</v>
      </c>
    </row>
    <row r="66" spans="1:2" ht="12.75">
      <c r="A66" s="29">
        <f t="shared" si="1"/>
        <v>44688</v>
      </c>
      <c r="B66" s="89">
        <f>IF('CALCULADORA TIS PESOS H-1'!$F$10="Contractual",ROUND('Tabla de Amortizacion'!B67,15),IF('CALCULADORA TIS PESOS H-1'!$F$10="6% (Medio)",ROUND('Tabla de Amortizacion'!D67,15),IF('CALCULADORA TIS PESOS H-1'!$F$10="10% (Medio Alto)",ROUND('Tabla de Amortizacion'!F67,15),IF('CALCULADORA TIS PESOS H-1'!$F$10="14% (Alto)",ROUND('Tabla de Amortizacion'!H67,15),IF('CALCULADORA TIS PESOS H-1'!$F$10="20%_",ROUND('Tabla de Amortizacion'!J67,15),ROUND('Tabla de Amortizacion'!L67,15))))))</f>
        <v>0.01324005</v>
      </c>
    </row>
    <row r="67" spans="1:2" ht="12.75">
      <c r="A67" s="29">
        <f aca="true" t="shared" si="2" ref="A67:A98">_XLL.FECHA.MES(A66,1)</f>
        <v>44719</v>
      </c>
      <c r="B67" s="89">
        <f>IF('CALCULADORA TIS PESOS H-1'!$F$10="Contractual",ROUND('Tabla de Amortizacion'!B68,15),IF('CALCULADORA TIS PESOS H-1'!$F$10="6% (Medio)",ROUND('Tabla de Amortizacion'!D68,15),IF('CALCULADORA TIS PESOS H-1'!$F$10="10% (Medio Alto)",ROUND('Tabla de Amortizacion'!F68,15),IF('CALCULADORA TIS PESOS H-1'!$F$10="14% (Alto)",ROUND('Tabla de Amortizacion'!H68,15),IF('CALCULADORA TIS PESOS H-1'!$F$10="20%_",ROUND('Tabla de Amortizacion'!J68,15),ROUND('Tabla de Amortizacion'!L68,15))))))</f>
        <v>0.01016614</v>
      </c>
    </row>
    <row r="68" spans="1:2" ht="12.75">
      <c r="A68" s="29">
        <f t="shared" si="2"/>
        <v>44749</v>
      </c>
      <c r="B68" s="89">
        <f>IF('CALCULADORA TIS PESOS H-1'!$F$10="Contractual",ROUND('Tabla de Amortizacion'!B69,15),IF('CALCULADORA TIS PESOS H-1'!$F$10="6% (Medio)",ROUND('Tabla de Amortizacion'!D69,15),IF('CALCULADORA TIS PESOS H-1'!$F$10="10% (Medio Alto)",ROUND('Tabla de Amortizacion'!F69,15),IF('CALCULADORA TIS PESOS H-1'!$F$10="14% (Alto)",ROUND('Tabla de Amortizacion'!H69,15),IF('CALCULADORA TIS PESOS H-1'!$F$10="20%_",ROUND('Tabla de Amortizacion'!J69,15),ROUND('Tabla de Amortizacion'!L69,15))))))</f>
        <v>0.01165555</v>
      </c>
    </row>
    <row r="69" spans="1:2" ht="12.75">
      <c r="A69" s="29">
        <f t="shared" si="2"/>
        <v>44780</v>
      </c>
      <c r="B69" s="89">
        <f>IF('CALCULADORA TIS PESOS H-1'!$F$10="Contractual",ROUND('Tabla de Amortizacion'!B70,15),IF('CALCULADORA TIS PESOS H-1'!$F$10="6% (Medio)",ROUND('Tabla de Amortizacion'!D70,15),IF('CALCULADORA TIS PESOS H-1'!$F$10="10% (Medio Alto)",ROUND('Tabla de Amortizacion'!F70,15),IF('CALCULADORA TIS PESOS H-1'!$F$10="14% (Alto)",ROUND('Tabla de Amortizacion'!H70,15),IF('CALCULADORA TIS PESOS H-1'!$F$10="20%_",ROUND('Tabla de Amortizacion'!J70,15),ROUND('Tabla de Amortizacion'!L70,15))))))</f>
        <v>0.01049908</v>
      </c>
    </row>
    <row r="70" spans="1:2" ht="12.75">
      <c r="A70" s="29">
        <f t="shared" si="2"/>
        <v>44811</v>
      </c>
      <c r="B70" s="89">
        <f>IF('CALCULADORA TIS PESOS H-1'!$F$10="Contractual",ROUND('Tabla de Amortizacion'!B71,15),IF('CALCULADORA TIS PESOS H-1'!$F$10="6% (Medio)",ROUND('Tabla de Amortizacion'!D71,15),IF('CALCULADORA TIS PESOS H-1'!$F$10="10% (Medio Alto)",ROUND('Tabla de Amortizacion'!F71,15),IF('CALCULADORA TIS PESOS H-1'!$F$10="14% (Alto)",ROUND('Tabla de Amortizacion'!H71,15),IF('CALCULADORA TIS PESOS H-1'!$F$10="20%_",ROUND('Tabla de Amortizacion'!J71,15),ROUND('Tabla de Amortizacion'!L71,15))))))</f>
        <v>0.00766851</v>
      </c>
    </row>
    <row r="71" spans="1:2" ht="12.75">
      <c r="A71" s="29">
        <f t="shared" si="2"/>
        <v>44841</v>
      </c>
      <c r="B71" s="89">
        <f>IF('CALCULADORA TIS PESOS H-1'!$F$10="Contractual",ROUND('Tabla de Amortizacion'!B72,15),IF('CALCULADORA TIS PESOS H-1'!$F$10="6% (Medio)",ROUND('Tabla de Amortizacion'!D72,15),IF('CALCULADORA TIS PESOS H-1'!$F$10="10% (Medio Alto)",ROUND('Tabla de Amortizacion'!F72,15),IF('CALCULADORA TIS PESOS H-1'!$F$10="14% (Alto)",ROUND('Tabla de Amortizacion'!H72,15),IF('CALCULADORA TIS PESOS H-1'!$F$10="20%_",ROUND('Tabla de Amortizacion'!J72,15),ROUND('Tabla de Amortizacion'!L72,15))))))</f>
        <v>0.01279089</v>
      </c>
    </row>
    <row r="72" spans="1:2" ht="12.75">
      <c r="A72" s="29">
        <f t="shared" si="2"/>
        <v>44872</v>
      </c>
      <c r="B72" s="89">
        <f>IF('CALCULADORA TIS PESOS H-1'!$F$10="Contractual",ROUND('Tabla de Amortizacion'!B73,15),IF('CALCULADORA TIS PESOS H-1'!$F$10="6% (Medio)",ROUND('Tabla de Amortizacion'!D73,15),IF('CALCULADORA TIS PESOS H-1'!$F$10="10% (Medio Alto)",ROUND('Tabla de Amortizacion'!F73,15),IF('CALCULADORA TIS PESOS H-1'!$F$10="14% (Alto)",ROUND('Tabla de Amortizacion'!H73,15),IF('CALCULADORA TIS PESOS H-1'!$F$10="20%_",ROUND('Tabla de Amortizacion'!J73,15),ROUND('Tabla de Amortizacion'!L73,15))))))</f>
        <v>0.00872364</v>
      </c>
    </row>
    <row r="73" spans="1:2" ht="12.75">
      <c r="A73" s="29">
        <f t="shared" si="2"/>
        <v>44902</v>
      </c>
      <c r="B73" s="89">
        <f>IF('CALCULADORA TIS PESOS H-1'!$F$10="Contractual",ROUND('Tabla de Amortizacion'!B74,15),IF('CALCULADORA TIS PESOS H-1'!$F$10="6% (Medio)",ROUND('Tabla de Amortizacion'!D74,15),IF('CALCULADORA TIS PESOS H-1'!$F$10="10% (Medio Alto)",ROUND('Tabla de Amortizacion'!F74,15),IF('CALCULADORA TIS PESOS H-1'!$F$10="14% (Alto)",ROUND('Tabla de Amortizacion'!H74,15),IF('CALCULADORA TIS PESOS H-1'!$F$10="20%_",ROUND('Tabla de Amortizacion'!J74,15),ROUND('Tabla de Amortizacion'!L74,15))))))</f>
        <v>0.00938377</v>
      </c>
    </row>
    <row r="74" spans="1:2" ht="12.75">
      <c r="A74" s="29">
        <f t="shared" si="2"/>
        <v>44933</v>
      </c>
      <c r="B74" s="89">
        <f>IF('CALCULADORA TIS PESOS H-1'!$F$10="Contractual",ROUND('Tabla de Amortizacion'!B75,15),IF('CALCULADORA TIS PESOS H-1'!$F$10="6% (Medio)",ROUND('Tabla de Amortizacion'!D75,15),IF('CALCULADORA TIS PESOS H-1'!$F$10="10% (Medio Alto)",ROUND('Tabla de Amortizacion'!F75,15),IF('CALCULADORA TIS PESOS H-1'!$F$10="14% (Alto)",ROUND('Tabla de Amortizacion'!H75,15),IF('CALCULADORA TIS PESOS H-1'!$F$10="20%_",ROUND('Tabla de Amortizacion'!J75,15),ROUND('Tabla de Amortizacion'!L75,15))))))</f>
        <v>0.01163786</v>
      </c>
    </row>
    <row r="75" spans="1:2" ht="12.75">
      <c r="A75" s="29">
        <f t="shared" si="2"/>
        <v>44964</v>
      </c>
      <c r="B75" s="89">
        <f>IF('CALCULADORA TIS PESOS H-1'!$F$10="Contractual",ROUND('Tabla de Amortizacion'!B76,15),IF('CALCULADORA TIS PESOS H-1'!$F$10="6% (Medio)",ROUND('Tabla de Amortizacion'!D76,15),IF('CALCULADORA TIS PESOS H-1'!$F$10="10% (Medio Alto)",ROUND('Tabla de Amortizacion'!F76,15),IF('CALCULADORA TIS PESOS H-1'!$F$10="14% (Alto)",ROUND('Tabla de Amortizacion'!H76,15),IF('CALCULADORA TIS PESOS H-1'!$F$10="20%_",ROUND('Tabla de Amortizacion'!J76,15),ROUND('Tabla de Amortizacion'!L76,15))))))</f>
        <v>0.00730675</v>
      </c>
    </row>
    <row r="76" spans="1:2" ht="12.75">
      <c r="A76" s="29">
        <f t="shared" si="2"/>
        <v>44992</v>
      </c>
      <c r="B76" s="89">
        <f>IF('CALCULADORA TIS PESOS H-1'!$F$10="Contractual",ROUND('Tabla de Amortizacion'!B77,15),IF('CALCULADORA TIS PESOS H-1'!$F$10="6% (Medio)",ROUND('Tabla de Amortizacion'!D77,15),IF('CALCULADORA TIS PESOS H-1'!$F$10="10% (Medio Alto)",ROUND('Tabla de Amortizacion'!F77,15),IF('CALCULADORA TIS PESOS H-1'!$F$10="14% (Alto)",ROUND('Tabla de Amortizacion'!H77,15),IF('CALCULADORA TIS PESOS H-1'!$F$10="20%_",ROUND('Tabla de Amortizacion'!J77,15),ROUND('Tabla de Amortizacion'!L77,15))))))</f>
        <v>0.00977638</v>
      </c>
    </row>
    <row r="77" spans="1:2" ht="12.75">
      <c r="A77" s="29">
        <f t="shared" si="2"/>
        <v>45023</v>
      </c>
      <c r="B77" s="89">
        <f>IF('CALCULADORA TIS PESOS H-1'!$F$10="Contractual",ROUND('Tabla de Amortizacion'!B78,15),IF('CALCULADORA TIS PESOS H-1'!$F$10="6% (Medio)",ROUND('Tabla de Amortizacion'!D78,15),IF('CALCULADORA TIS PESOS H-1'!$F$10="10% (Medio Alto)",ROUND('Tabla de Amortizacion'!F78,15),IF('CALCULADORA TIS PESOS H-1'!$F$10="14% (Alto)",ROUND('Tabla de Amortizacion'!H78,15),IF('CALCULADORA TIS PESOS H-1'!$F$10="20%_",ROUND('Tabla de Amortizacion'!J78,15),ROUND('Tabla de Amortizacion'!L78,15))))))</f>
        <v>0.00769482</v>
      </c>
    </row>
    <row r="78" spans="1:2" ht="12.75">
      <c r="A78" s="29">
        <f t="shared" si="2"/>
        <v>45053</v>
      </c>
      <c r="B78" s="89">
        <f>IF('CALCULADORA TIS PESOS H-1'!$F$10="Contractual",ROUND('Tabla de Amortizacion'!B79,15),IF('CALCULADORA TIS PESOS H-1'!$F$10="6% (Medio)",ROUND('Tabla de Amortizacion'!D79,15),IF('CALCULADORA TIS PESOS H-1'!$F$10="10% (Medio Alto)",ROUND('Tabla de Amortizacion'!F79,15),IF('CALCULADORA TIS PESOS H-1'!$F$10="14% (Alto)",ROUND('Tabla de Amortizacion'!H79,15),IF('CALCULADORA TIS PESOS H-1'!$F$10="20%_",ROUND('Tabla de Amortizacion'!J79,15),ROUND('Tabla de Amortizacion'!L79,15))))))</f>
        <v>0.00876814</v>
      </c>
    </row>
    <row r="79" spans="1:2" ht="12.75">
      <c r="A79" s="29">
        <f t="shared" si="2"/>
        <v>45084</v>
      </c>
      <c r="B79" s="89">
        <f>IF('CALCULADORA TIS PESOS H-1'!$F$10="Contractual",ROUND('Tabla de Amortizacion'!B80,15),IF('CALCULADORA TIS PESOS H-1'!$F$10="6% (Medio)",ROUND('Tabla de Amortizacion'!D80,15),IF('CALCULADORA TIS PESOS H-1'!$F$10="10% (Medio Alto)",ROUND('Tabla de Amortizacion'!F80,15),IF('CALCULADORA TIS PESOS H-1'!$F$10="14% (Alto)",ROUND('Tabla de Amortizacion'!H80,15),IF('CALCULADORA TIS PESOS H-1'!$F$10="20%_",ROUND('Tabla de Amortizacion'!J80,15),ROUND('Tabla de Amortizacion'!L80,15))))))</f>
        <v>0.00861102</v>
      </c>
    </row>
    <row r="80" spans="1:2" ht="12.75">
      <c r="A80" s="29">
        <f t="shared" si="2"/>
        <v>45114</v>
      </c>
      <c r="B80" s="89">
        <f>IF('CALCULADORA TIS PESOS H-1'!$F$10="Contractual",ROUND('Tabla de Amortizacion'!B81,15),IF('CALCULADORA TIS PESOS H-1'!$F$10="6% (Medio)",ROUND('Tabla de Amortizacion'!D81,15),IF('CALCULADORA TIS PESOS H-1'!$F$10="10% (Medio Alto)",ROUND('Tabla de Amortizacion'!F81,15),IF('CALCULADORA TIS PESOS H-1'!$F$10="14% (Alto)",ROUND('Tabla de Amortizacion'!H81,15),IF('CALCULADORA TIS PESOS H-1'!$F$10="20%_",ROUND('Tabla de Amortizacion'!J81,15),ROUND('Tabla de Amortizacion'!L81,15))))))</f>
        <v>0.00967742</v>
      </c>
    </row>
    <row r="81" spans="1:2" ht="12.75">
      <c r="A81" s="29">
        <f t="shared" si="2"/>
        <v>45145</v>
      </c>
      <c r="B81" s="89">
        <f>IF('CALCULADORA TIS PESOS H-1'!$F$10="Contractual",ROUND('Tabla de Amortizacion'!B82,15),IF('CALCULADORA TIS PESOS H-1'!$F$10="6% (Medio)",ROUND('Tabla de Amortizacion'!D82,15),IF('CALCULADORA TIS PESOS H-1'!$F$10="10% (Medio Alto)",ROUND('Tabla de Amortizacion'!F82,15),IF('CALCULADORA TIS PESOS H-1'!$F$10="14% (Alto)",ROUND('Tabla de Amortizacion'!H82,15),IF('CALCULADORA TIS PESOS H-1'!$F$10="20%_",ROUND('Tabla de Amortizacion'!J82,15),ROUND('Tabla de Amortizacion'!L82,15))))))</f>
        <v>0.00447161</v>
      </c>
    </row>
    <row r="82" spans="1:2" ht="12.75">
      <c r="A82" s="29">
        <f t="shared" si="2"/>
        <v>45176</v>
      </c>
      <c r="B82" s="89">
        <f>IF('CALCULADORA TIS PESOS H-1'!$F$10="Contractual",ROUND('Tabla de Amortizacion'!B83,15),IF('CALCULADORA TIS PESOS H-1'!$F$10="6% (Medio)",ROUND('Tabla de Amortizacion'!D83,15),IF('CALCULADORA TIS PESOS H-1'!$F$10="10% (Medio Alto)",ROUND('Tabla de Amortizacion'!F83,15),IF('CALCULADORA TIS PESOS H-1'!$F$10="14% (Alto)",ROUND('Tabla de Amortizacion'!H83,15),IF('CALCULADORA TIS PESOS H-1'!$F$10="20%_",ROUND('Tabla de Amortizacion'!J83,15),ROUND('Tabla de Amortizacion'!L83,15))))))</f>
        <v>0</v>
      </c>
    </row>
    <row r="83" spans="1:2" ht="12.75">
      <c r="A83" s="29">
        <f t="shared" si="2"/>
        <v>45206</v>
      </c>
      <c r="B83" s="89">
        <f>IF('CALCULADORA TIS PESOS H-1'!$F$10="Contractual",ROUND('Tabla de Amortizacion'!B84,15),IF('CALCULADORA TIS PESOS H-1'!$F$10="6% (Medio)",ROUND('Tabla de Amortizacion'!D84,15),IF('CALCULADORA TIS PESOS H-1'!$F$10="10% (Medio Alto)",ROUND('Tabla de Amortizacion'!F84,15),IF('CALCULADORA TIS PESOS H-1'!$F$10="14% (Alto)",ROUND('Tabla de Amortizacion'!H84,15),IF('CALCULADORA TIS PESOS H-1'!$F$10="20%_",ROUND('Tabla de Amortizacion'!J84,15),ROUND('Tabla de Amortizacion'!L84,15))))))</f>
        <v>0</v>
      </c>
    </row>
    <row r="84" spans="1:2" ht="12.75">
      <c r="A84" s="29">
        <f t="shared" si="2"/>
        <v>45237</v>
      </c>
      <c r="B84" s="89">
        <f>IF('CALCULADORA TIS PESOS H-1'!$F$10="Contractual",ROUND('Tabla de Amortizacion'!B85,15),IF('CALCULADORA TIS PESOS H-1'!$F$10="6% (Medio)",ROUND('Tabla de Amortizacion'!D85,15),IF('CALCULADORA TIS PESOS H-1'!$F$10="10% (Medio Alto)",ROUND('Tabla de Amortizacion'!F85,15),IF('CALCULADORA TIS PESOS H-1'!$F$10="14% (Alto)",ROUND('Tabla de Amortizacion'!H85,15),IF('CALCULADORA TIS PESOS H-1'!$F$10="20%_",ROUND('Tabla de Amortizacion'!J85,15),ROUND('Tabla de Amortizacion'!L85,15))))))</f>
        <v>0</v>
      </c>
    </row>
    <row r="85" spans="1:2" ht="12.75">
      <c r="A85" s="29">
        <f t="shared" si="2"/>
        <v>45267</v>
      </c>
      <c r="B85" s="89">
        <f>IF('CALCULADORA TIS PESOS H-1'!$F$10="Contractual",ROUND('Tabla de Amortizacion'!B86,15),IF('CALCULADORA TIS PESOS H-1'!$F$10="6% (Medio)",ROUND('Tabla de Amortizacion'!D86,15),IF('CALCULADORA TIS PESOS H-1'!$F$10="10% (Medio Alto)",ROUND('Tabla de Amortizacion'!F86,15),IF('CALCULADORA TIS PESOS H-1'!$F$10="14% (Alto)",ROUND('Tabla de Amortizacion'!H86,15),IF('CALCULADORA TIS PESOS H-1'!$F$10="20%_",ROUND('Tabla de Amortizacion'!J86,15),ROUND('Tabla de Amortizacion'!L86,15))))))</f>
        <v>0</v>
      </c>
    </row>
    <row r="86" spans="1:2" ht="12.75">
      <c r="A86" s="29">
        <f t="shared" si="2"/>
        <v>45298</v>
      </c>
      <c r="B86" s="89">
        <f>IF('CALCULADORA TIS PESOS H-1'!$F$10="Contractual",ROUND('Tabla de Amortizacion'!B87,15),IF('CALCULADORA TIS PESOS H-1'!$F$10="6% (Medio)",ROUND('Tabla de Amortizacion'!D87,15),IF('CALCULADORA TIS PESOS H-1'!$F$10="10% (Medio Alto)",ROUND('Tabla de Amortizacion'!F87,15),IF('CALCULADORA TIS PESOS H-1'!$F$10="14% (Alto)",ROUND('Tabla de Amortizacion'!H87,15),IF('CALCULADORA TIS PESOS H-1'!$F$10="20%_",ROUND('Tabla de Amortizacion'!J87,15),ROUND('Tabla de Amortizacion'!L87,15))))))</f>
        <v>0</v>
      </c>
    </row>
    <row r="87" spans="1:2" ht="12.75">
      <c r="A87" s="29">
        <f t="shared" si="2"/>
        <v>45329</v>
      </c>
      <c r="B87" s="89">
        <f>IF('CALCULADORA TIS PESOS H-1'!$F$10="Contractual",ROUND('Tabla de Amortizacion'!B88,15),IF('CALCULADORA TIS PESOS H-1'!$F$10="6% (Medio)",ROUND('Tabla de Amortizacion'!D88,15),IF('CALCULADORA TIS PESOS H-1'!$F$10="10% (Medio Alto)",ROUND('Tabla de Amortizacion'!F88,15),IF('CALCULADORA TIS PESOS H-1'!$F$10="14% (Alto)",ROUND('Tabla de Amortizacion'!H88,15),IF('CALCULADORA TIS PESOS H-1'!$F$10="20%_",ROUND('Tabla de Amortizacion'!J88,15),ROUND('Tabla de Amortizacion'!L88,15))))))</f>
        <v>0</v>
      </c>
    </row>
    <row r="88" spans="1:2" ht="12.75">
      <c r="A88" s="29">
        <f t="shared" si="2"/>
        <v>45358</v>
      </c>
      <c r="B88" s="89">
        <f>IF('CALCULADORA TIS PESOS H-1'!$F$10="Contractual",ROUND('Tabla de Amortizacion'!B89,15),IF('CALCULADORA TIS PESOS H-1'!$F$10="6% (Medio)",ROUND('Tabla de Amortizacion'!D89,15),IF('CALCULADORA TIS PESOS H-1'!$F$10="10% (Medio Alto)",ROUND('Tabla de Amortizacion'!F89,15),IF('CALCULADORA TIS PESOS H-1'!$F$10="14% (Alto)",ROUND('Tabla de Amortizacion'!H89,15),IF('CALCULADORA TIS PESOS H-1'!$F$10="20%_",ROUND('Tabla de Amortizacion'!J89,15),ROUND('Tabla de Amortizacion'!L89,15))))))</f>
        <v>0</v>
      </c>
    </row>
    <row r="89" spans="1:2" ht="12.75">
      <c r="A89" s="29">
        <f t="shared" si="2"/>
        <v>45389</v>
      </c>
      <c r="B89" s="89">
        <f>IF('CALCULADORA TIS PESOS H-1'!$F$10="Contractual",ROUND('Tabla de Amortizacion'!B90,15),IF('CALCULADORA TIS PESOS H-1'!$F$10="6% (Medio)",ROUND('Tabla de Amortizacion'!D90,15),IF('CALCULADORA TIS PESOS H-1'!$F$10="10% (Medio Alto)",ROUND('Tabla de Amortizacion'!F90,15),IF('CALCULADORA TIS PESOS H-1'!$F$10="14% (Alto)",ROUND('Tabla de Amortizacion'!H90,15),IF('CALCULADORA TIS PESOS H-1'!$F$10="20%_",ROUND('Tabla de Amortizacion'!J90,15),ROUND('Tabla de Amortizacion'!L90,15))))))</f>
        <v>0</v>
      </c>
    </row>
    <row r="90" spans="1:2" ht="12.75">
      <c r="A90" s="29">
        <f t="shared" si="2"/>
        <v>45419</v>
      </c>
      <c r="B90" s="89">
        <f>IF('CALCULADORA TIS PESOS H-1'!$F$10="Contractual",ROUND('Tabla de Amortizacion'!B91,15),IF('CALCULADORA TIS PESOS H-1'!$F$10="6% (Medio)",ROUND('Tabla de Amortizacion'!D91,15),IF('CALCULADORA TIS PESOS H-1'!$F$10="10% (Medio Alto)",ROUND('Tabla de Amortizacion'!F91,15),IF('CALCULADORA TIS PESOS H-1'!$F$10="14% (Alto)",ROUND('Tabla de Amortizacion'!H91,15),IF('CALCULADORA TIS PESOS H-1'!$F$10="20%_",ROUND('Tabla de Amortizacion'!J91,15),ROUND('Tabla de Amortizacion'!L91,15))))))</f>
        <v>0</v>
      </c>
    </row>
    <row r="91" spans="1:2" ht="12.75">
      <c r="A91" s="29">
        <f t="shared" si="2"/>
        <v>45450</v>
      </c>
      <c r="B91" s="89">
        <f>IF('CALCULADORA TIS PESOS H-1'!$F$10="Contractual",ROUND('Tabla de Amortizacion'!B92,15),IF('CALCULADORA TIS PESOS H-1'!$F$10="6% (Medio)",ROUND('Tabla de Amortizacion'!D92,15),IF('CALCULADORA TIS PESOS H-1'!$F$10="10% (Medio Alto)",ROUND('Tabla de Amortizacion'!F92,15),IF('CALCULADORA TIS PESOS H-1'!$F$10="14% (Alto)",ROUND('Tabla de Amortizacion'!H92,15),IF('CALCULADORA TIS PESOS H-1'!$F$10="20%_",ROUND('Tabla de Amortizacion'!J92,15),ROUND('Tabla de Amortizacion'!L92,15))))))</f>
        <v>0</v>
      </c>
    </row>
    <row r="92" spans="1:2" ht="12.75">
      <c r="A92" s="29">
        <f t="shared" si="2"/>
        <v>45480</v>
      </c>
      <c r="B92" s="89">
        <f>IF('CALCULADORA TIS PESOS H-1'!$F$10="Contractual",ROUND('Tabla de Amortizacion'!B93,15),IF('CALCULADORA TIS PESOS H-1'!$F$10="6% (Medio)",ROUND('Tabla de Amortizacion'!D93,15),IF('CALCULADORA TIS PESOS H-1'!$F$10="10% (Medio Alto)",ROUND('Tabla de Amortizacion'!F93,15),IF('CALCULADORA TIS PESOS H-1'!$F$10="14% (Alto)",ROUND('Tabla de Amortizacion'!H93,15),IF('CALCULADORA TIS PESOS H-1'!$F$10="20%_",ROUND('Tabla de Amortizacion'!J93,15),ROUND('Tabla de Amortizacion'!L93,15))))))</f>
        <v>0</v>
      </c>
    </row>
    <row r="93" spans="1:2" ht="12.75">
      <c r="A93" s="29">
        <f t="shared" si="2"/>
        <v>45511</v>
      </c>
      <c r="B93" s="89">
        <f>IF('CALCULADORA TIS PESOS H-1'!$F$10="Contractual",ROUND('Tabla de Amortizacion'!B94,15),IF('CALCULADORA TIS PESOS H-1'!$F$10="6% (Medio)",ROUND('Tabla de Amortizacion'!D94,15),IF('CALCULADORA TIS PESOS H-1'!$F$10="10% (Medio Alto)",ROUND('Tabla de Amortizacion'!F94,15),IF('CALCULADORA TIS PESOS H-1'!$F$10="14% (Alto)",ROUND('Tabla de Amortizacion'!H94,15),IF('CALCULADORA TIS PESOS H-1'!$F$10="20%_",ROUND('Tabla de Amortizacion'!J94,15),ROUND('Tabla de Amortizacion'!L94,15))))))</f>
        <v>0</v>
      </c>
    </row>
    <row r="94" spans="1:2" ht="12.75">
      <c r="A94" s="29">
        <f t="shared" si="2"/>
        <v>45542</v>
      </c>
      <c r="B94" s="89">
        <f>IF('CALCULADORA TIS PESOS H-1'!$F$10="Contractual",ROUND('Tabla de Amortizacion'!B95,15),IF('CALCULADORA TIS PESOS H-1'!$F$10="6% (Medio)",ROUND('Tabla de Amortizacion'!D95,15),IF('CALCULADORA TIS PESOS H-1'!$F$10="10% (Medio Alto)",ROUND('Tabla de Amortizacion'!F95,15),IF('CALCULADORA TIS PESOS H-1'!$F$10="14% (Alto)",ROUND('Tabla de Amortizacion'!H95,15),IF('CALCULADORA TIS PESOS H-1'!$F$10="20%_",ROUND('Tabla de Amortizacion'!J95,15),ROUND('Tabla de Amortizacion'!L95,15))))))</f>
        <v>0</v>
      </c>
    </row>
    <row r="95" spans="1:2" ht="12.75">
      <c r="A95" s="29">
        <f t="shared" si="2"/>
        <v>45572</v>
      </c>
      <c r="B95" s="89">
        <f>IF('CALCULADORA TIS PESOS H-1'!$F$10="Contractual",ROUND('Tabla de Amortizacion'!B96,15),IF('CALCULADORA TIS PESOS H-1'!$F$10="6% (Medio)",ROUND('Tabla de Amortizacion'!D96,15),IF('CALCULADORA TIS PESOS H-1'!$F$10="10% (Medio Alto)",ROUND('Tabla de Amortizacion'!F96,15),IF('CALCULADORA TIS PESOS H-1'!$F$10="14% (Alto)",ROUND('Tabla de Amortizacion'!H96,15),IF('CALCULADORA TIS PESOS H-1'!$F$10="20%_",ROUND('Tabla de Amortizacion'!J96,15),ROUND('Tabla de Amortizacion'!L96,15))))))</f>
        <v>0</v>
      </c>
    </row>
    <row r="96" spans="1:2" ht="12.75">
      <c r="A96" s="29">
        <f t="shared" si="2"/>
        <v>45603</v>
      </c>
      <c r="B96" s="89">
        <f>IF('CALCULADORA TIS PESOS H-1'!$F$10="Contractual",ROUND('Tabla de Amortizacion'!B97,15),IF('CALCULADORA TIS PESOS H-1'!$F$10="6% (Medio)",ROUND('Tabla de Amortizacion'!D97,15),IF('CALCULADORA TIS PESOS H-1'!$F$10="10% (Medio Alto)",ROUND('Tabla de Amortizacion'!F97,15),IF('CALCULADORA TIS PESOS H-1'!$F$10="14% (Alto)",ROUND('Tabla de Amortizacion'!H97,15),IF('CALCULADORA TIS PESOS H-1'!$F$10="20%_",ROUND('Tabla de Amortizacion'!J97,15),ROUND('Tabla de Amortizacion'!L97,15))))))</f>
        <v>0</v>
      </c>
    </row>
    <row r="97" spans="1:2" ht="12.75">
      <c r="A97" s="29">
        <f t="shared" si="2"/>
        <v>45633</v>
      </c>
      <c r="B97" s="89">
        <f>IF('CALCULADORA TIS PESOS H-1'!$F$10="Contractual",ROUND('Tabla de Amortizacion'!B98,15),IF('CALCULADORA TIS PESOS H-1'!$F$10="6% (Medio)",ROUND('Tabla de Amortizacion'!D98,15),IF('CALCULADORA TIS PESOS H-1'!$F$10="10% (Medio Alto)",ROUND('Tabla de Amortizacion'!F98,15),IF('CALCULADORA TIS PESOS H-1'!$F$10="14% (Alto)",ROUND('Tabla de Amortizacion'!H98,15),IF('CALCULADORA TIS PESOS H-1'!$F$10="20%_",ROUND('Tabla de Amortizacion'!J98,15),ROUND('Tabla de Amortizacion'!L98,15))))))</f>
        <v>0</v>
      </c>
    </row>
    <row r="98" spans="1:2" ht="12.75">
      <c r="A98" s="29">
        <f t="shared" si="2"/>
        <v>45664</v>
      </c>
      <c r="B98" s="89">
        <f>IF('CALCULADORA TIS PESOS H-1'!$F$10="Contractual",ROUND('Tabla de Amortizacion'!B99,15),IF('CALCULADORA TIS PESOS H-1'!$F$10="6% (Medio)",ROUND('Tabla de Amortizacion'!D99,15),IF('CALCULADORA TIS PESOS H-1'!$F$10="10% (Medio Alto)",ROUND('Tabla de Amortizacion'!F99,15),IF('CALCULADORA TIS PESOS H-1'!$F$10="14% (Alto)",ROUND('Tabla de Amortizacion'!H99,15),IF('CALCULADORA TIS PESOS H-1'!$F$10="20%_",ROUND('Tabla de Amortizacion'!J99,15),ROUND('Tabla de Amortizacion'!L99,15))))))</f>
        <v>0</v>
      </c>
    </row>
    <row r="99" spans="1:2" ht="12.75">
      <c r="A99" s="29">
        <f aca="true" t="shared" si="3" ref="A99:A130">_XLL.FECHA.MES(A98,1)</f>
        <v>45695</v>
      </c>
      <c r="B99" s="89">
        <f>IF('CALCULADORA TIS PESOS H-1'!$F$10="Contractual",ROUND('Tabla de Amortizacion'!B100,15),IF('CALCULADORA TIS PESOS H-1'!$F$10="6% (Medio)",ROUND('Tabla de Amortizacion'!D100,15),IF('CALCULADORA TIS PESOS H-1'!$F$10="10% (Medio Alto)",ROUND('Tabla de Amortizacion'!F100,15),IF('CALCULADORA TIS PESOS H-1'!$F$10="14% (Alto)",ROUND('Tabla de Amortizacion'!H100,15),IF('CALCULADORA TIS PESOS H-1'!$F$10="20%_",ROUND('Tabla de Amortizacion'!J100,15),ROUND('Tabla de Amortizacion'!L100,15))))))</f>
        <v>0</v>
      </c>
    </row>
    <row r="100" spans="1:2" ht="12.75">
      <c r="A100" s="29">
        <f t="shared" si="3"/>
        <v>45723</v>
      </c>
      <c r="B100" s="89">
        <f>IF('CALCULADORA TIS PESOS H-1'!$F$10="Contractual",ROUND('Tabla de Amortizacion'!B101,15),IF('CALCULADORA TIS PESOS H-1'!$F$10="6% (Medio)",ROUND('Tabla de Amortizacion'!D101,15),IF('CALCULADORA TIS PESOS H-1'!$F$10="10% (Medio Alto)",ROUND('Tabla de Amortizacion'!F101,15),IF('CALCULADORA TIS PESOS H-1'!$F$10="14% (Alto)",ROUND('Tabla de Amortizacion'!H101,15),IF('CALCULADORA TIS PESOS H-1'!$F$10="20%_",ROUND('Tabla de Amortizacion'!J101,15),ROUND('Tabla de Amortizacion'!L101,15))))))</f>
        <v>0</v>
      </c>
    </row>
    <row r="101" spans="1:2" ht="12.75">
      <c r="A101" s="29">
        <f t="shared" si="3"/>
        <v>45754</v>
      </c>
      <c r="B101" s="89">
        <f>IF('CALCULADORA TIS PESOS H-1'!$F$10="Contractual",ROUND('Tabla de Amortizacion'!B102,15),IF('CALCULADORA TIS PESOS H-1'!$F$10="6% (Medio)",ROUND('Tabla de Amortizacion'!D102,15),IF('CALCULADORA TIS PESOS H-1'!$F$10="10% (Medio Alto)",ROUND('Tabla de Amortizacion'!F102,15),IF('CALCULADORA TIS PESOS H-1'!$F$10="14% (Alto)",ROUND('Tabla de Amortizacion'!H102,15),IF('CALCULADORA TIS PESOS H-1'!$F$10="20%_",ROUND('Tabla de Amortizacion'!J102,15),ROUND('Tabla de Amortizacion'!L102,15))))))</f>
        <v>0</v>
      </c>
    </row>
    <row r="102" spans="1:2" ht="12.75">
      <c r="A102" s="29">
        <f t="shared" si="3"/>
        <v>45784</v>
      </c>
      <c r="B102" s="89">
        <f>IF('CALCULADORA TIS PESOS H-1'!$F$10="Contractual",ROUND('Tabla de Amortizacion'!B103,15),IF('CALCULADORA TIS PESOS H-1'!$F$10="6% (Medio)",ROUND('Tabla de Amortizacion'!D103,15),IF('CALCULADORA TIS PESOS H-1'!$F$10="10% (Medio Alto)",ROUND('Tabla de Amortizacion'!F103,15),IF('CALCULADORA TIS PESOS H-1'!$F$10="14% (Alto)",ROUND('Tabla de Amortizacion'!H103,15),IF('CALCULADORA TIS PESOS H-1'!$F$10="20%_",ROUND('Tabla de Amortizacion'!J103,15),ROUND('Tabla de Amortizacion'!L103,15))))))</f>
        <v>0</v>
      </c>
    </row>
    <row r="103" spans="1:2" ht="12.75">
      <c r="A103" s="29">
        <f t="shared" si="3"/>
        <v>45815</v>
      </c>
      <c r="B103" s="89">
        <f>IF('CALCULADORA TIS PESOS H-1'!$F$10="Contractual",ROUND('Tabla de Amortizacion'!B104,15),IF('CALCULADORA TIS PESOS H-1'!$F$10="6% (Medio)",ROUND('Tabla de Amortizacion'!D104,15),IF('CALCULADORA TIS PESOS H-1'!$F$10="10% (Medio Alto)",ROUND('Tabla de Amortizacion'!F104,15),IF('CALCULADORA TIS PESOS H-1'!$F$10="14% (Alto)",ROUND('Tabla de Amortizacion'!H104,15),IF('CALCULADORA TIS PESOS H-1'!$F$10="20%_",ROUND('Tabla de Amortizacion'!J104,15),ROUND('Tabla de Amortizacion'!L104,15))))))</f>
        <v>0</v>
      </c>
    </row>
    <row r="104" spans="1:2" ht="12.75">
      <c r="A104" s="29">
        <f t="shared" si="3"/>
        <v>45845</v>
      </c>
      <c r="B104" s="89">
        <f>IF('CALCULADORA TIS PESOS H-1'!$F$10="Contractual",ROUND('Tabla de Amortizacion'!B105,15),IF('CALCULADORA TIS PESOS H-1'!$F$10="6% (Medio)",ROUND('Tabla de Amortizacion'!D105,15),IF('CALCULADORA TIS PESOS H-1'!$F$10="10% (Medio Alto)",ROUND('Tabla de Amortizacion'!F105,15),IF('CALCULADORA TIS PESOS H-1'!$F$10="14% (Alto)",ROUND('Tabla de Amortizacion'!H105,15),IF('CALCULADORA TIS PESOS H-1'!$F$10="20%_",ROUND('Tabla de Amortizacion'!J105,15),ROUND('Tabla de Amortizacion'!L105,15))))))</f>
        <v>0</v>
      </c>
    </row>
    <row r="105" spans="1:2" ht="12.75">
      <c r="A105" s="29">
        <f t="shared" si="3"/>
        <v>45876</v>
      </c>
      <c r="B105" s="89">
        <f>IF('CALCULADORA TIS PESOS H-1'!$F$10="Contractual",ROUND('Tabla de Amortizacion'!B106,15),IF('CALCULADORA TIS PESOS H-1'!$F$10="6% (Medio)",ROUND('Tabla de Amortizacion'!D106,15),IF('CALCULADORA TIS PESOS H-1'!$F$10="10% (Medio Alto)",ROUND('Tabla de Amortizacion'!F106,15),IF('CALCULADORA TIS PESOS H-1'!$F$10="14% (Alto)",ROUND('Tabla de Amortizacion'!H106,15),IF('CALCULADORA TIS PESOS H-1'!$F$10="20%_",ROUND('Tabla de Amortizacion'!J106,15),ROUND('Tabla de Amortizacion'!L106,15))))))</f>
        <v>0</v>
      </c>
    </row>
    <row r="106" spans="1:2" ht="12.75">
      <c r="A106" s="29">
        <f t="shared" si="3"/>
        <v>45907</v>
      </c>
      <c r="B106" s="89">
        <f>IF('CALCULADORA TIS PESOS H-1'!$F$10="Contractual",ROUND('Tabla de Amortizacion'!B107,15),IF('CALCULADORA TIS PESOS H-1'!$F$10="6% (Medio)",ROUND('Tabla de Amortizacion'!D107,15),IF('CALCULADORA TIS PESOS H-1'!$F$10="10% (Medio Alto)",ROUND('Tabla de Amortizacion'!F107,15),IF('CALCULADORA TIS PESOS H-1'!$F$10="14% (Alto)",ROUND('Tabla de Amortizacion'!H107,15),IF('CALCULADORA TIS PESOS H-1'!$F$10="20%_",ROUND('Tabla de Amortizacion'!J107,15),ROUND('Tabla de Amortizacion'!L107,15))))))</f>
        <v>0</v>
      </c>
    </row>
    <row r="107" spans="1:2" ht="12.75">
      <c r="A107" s="29">
        <f t="shared" si="3"/>
        <v>45937</v>
      </c>
      <c r="B107" s="89">
        <f>IF('CALCULADORA TIS PESOS H-1'!$F$10="Contractual",ROUND('Tabla de Amortizacion'!B108,15),IF('CALCULADORA TIS PESOS H-1'!$F$10="6% (Medio)",ROUND('Tabla de Amortizacion'!D108,15),IF('CALCULADORA TIS PESOS H-1'!$F$10="10% (Medio Alto)",ROUND('Tabla de Amortizacion'!F108,15),IF('CALCULADORA TIS PESOS H-1'!$F$10="14% (Alto)",ROUND('Tabla de Amortizacion'!H108,15),IF('CALCULADORA TIS PESOS H-1'!$F$10="20%_",ROUND('Tabla de Amortizacion'!J108,15),ROUND('Tabla de Amortizacion'!L108,15))))))</f>
        <v>0</v>
      </c>
    </row>
    <row r="108" spans="1:2" ht="12.75">
      <c r="A108" s="29">
        <f t="shared" si="3"/>
        <v>45968</v>
      </c>
      <c r="B108" s="89">
        <f>IF('CALCULADORA TIS PESOS H-1'!$F$10="Contractual",ROUND('Tabla de Amortizacion'!B109,15),IF('CALCULADORA TIS PESOS H-1'!$F$10="6% (Medio)",ROUND('Tabla de Amortizacion'!D109,15),IF('CALCULADORA TIS PESOS H-1'!$F$10="10% (Medio Alto)",ROUND('Tabla de Amortizacion'!F109,15),IF('CALCULADORA TIS PESOS H-1'!$F$10="14% (Alto)",ROUND('Tabla de Amortizacion'!H109,15),IF('CALCULADORA TIS PESOS H-1'!$F$10="20%_",ROUND('Tabla de Amortizacion'!J109,15),ROUND('Tabla de Amortizacion'!L109,15))))))</f>
        <v>0</v>
      </c>
    </row>
    <row r="109" spans="1:2" ht="12.75">
      <c r="A109" s="29">
        <f t="shared" si="3"/>
        <v>45998</v>
      </c>
      <c r="B109" s="89">
        <f>IF('CALCULADORA TIS PESOS H-1'!$F$10="Contractual",ROUND('Tabla de Amortizacion'!B110,15),IF('CALCULADORA TIS PESOS H-1'!$F$10="6% (Medio)",ROUND('Tabla de Amortizacion'!D110,15),IF('CALCULADORA TIS PESOS H-1'!$F$10="10% (Medio Alto)",ROUND('Tabla de Amortizacion'!F110,15),IF('CALCULADORA TIS PESOS H-1'!$F$10="14% (Alto)",ROUND('Tabla de Amortizacion'!H110,15),IF('CALCULADORA TIS PESOS H-1'!$F$10="20%_",ROUND('Tabla de Amortizacion'!J110,15),ROUND('Tabla de Amortizacion'!L110,15))))))</f>
        <v>0</v>
      </c>
    </row>
    <row r="110" spans="1:2" ht="12.75">
      <c r="A110" s="29">
        <f t="shared" si="3"/>
        <v>46029</v>
      </c>
      <c r="B110" s="89">
        <f>IF('CALCULADORA TIS PESOS H-1'!$F$10="Contractual",ROUND('Tabla de Amortizacion'!B111,15),IF('CALCULADORA TIS PESOS H-1'!$F$10="6% (Medio)",ROUND('Tabla de Amortizacion'!D111,15),IF('CALCULADORA TIS PESOS H-1'!$F$10="10% (Medio Alto)",ROUND('Tabla de Amortizacion'!F111,15),IF('CALCULADORA TIS PESOS H-1'!$F$10="14% (Alto)",ROUND('Tabla de Amortizacion'!H111,15),IF('CALCULADORA TIS PESOS H-1'!$F$10="20%_",ROUND('Tabla de Amortizacion'!J111,15),ROUND('Tabla de Amortizacion'!L111,15))))))</f>
        <v>0</v>
      </c>
    </row>
    <row r="111" spans="1:2" ht="12.75">
      <c r="A111" s="29">
        <f t="shared" si="3"/>
        <v>46060</v>
      </c>
      <c r="B111" s="89">
        <f>IF('CALCULADORA TIS PESOS H-1'!$F$10="Contractual",ROUND('Tabla de Amortizacion'!B112,15),IF('CALCULADORA TIS PESOS H-1'!$F$10="6% (Medio)",ROUND('Tabla de Amortizacion'!D112,15),IF('CALCULADORA TIS PESOS H-1'!$F$10="10% (Medio Alto)",ROUND('Tabla de Amortizacion'!F112,15),IF('CALCULADORA TIS PESOS H-1'!$F$10="14% (Alto)",ROUND('Tabla de Amortizacion'!H112,15),IF('CALCULADORA TIS PESOS H-1'!$F$10="20%_",ROUND('Tabla de Amortizacion'!J112,15),ROUND('Tabla de Amortizacion'!L112,15))))))</f>
        <v>0</v>
      </c>
    </row>
    <row r="112" spans="1:2" ht="12.75">
      <c r="A112" s="29">
        <f t="shared" si="3"/>
        <v>46088</v>
      </c>
      <c r="B112" s="89">
        <f>IF('CALCULADORA TIS PESOS H-1'!$F$10="Contractual",ROUND('Tabla de Amortizacion'!B113,15),IF('CALCULADORA TIS PESOS H-1'!$F$10="6% (Medio)",ROUND('Tabla de Amortizacion'!D113,15),IF('CALCULADORA TIS PESOS H-1'!$F$10="10% (Medio Alto)",ROUND('Tabla de Amortizacion'!F113,15),IF('CALCULADORA TIS PESOS H-1'!$F$10="14% (Alto)",ROUND('Tabla de Amortizacion'!H113,15),IF('CALCULADORA TIS PESOS H-1'!$F$10="20%_",ROUND('Tabla de Amortizacion'!J113,15),ROUND('Tabla de Amortizacion'!L113,15))))))</f>
        <v>0</v>
      </c>
    </row>
    <row r="113" spans="1:2" ht="12.75">
      <c r="A113" s="29">
        <f t="shared" si="3"/>
        <v>46119</v>
      </c>
      <c r="B113" s="89">
        <f>IF('CALCULADORA TIS PESOS H-1'!$F$10="Contractual",ROUND('Tabla de Amortizacion'!B114,15),IF('CALCULADORA TIS PESOS H-1'!$F$10="6% (Medio)",ROUND('Tabla de Amortizacion'!D114,15),IF('CALCULADORA TIS PESOS H-1'!$F$10="10% (Medio Alto)",ROUND('Tabla de Amortizacion'!F114,15),IF('CALCULADORA TIS PESOS H-1'!$F$10="14% (Alto)",ROUND('Tabla de Amortizacion'!H114,15),IF('CALCULADORA TIS PESOS H-1'!$F$10="20%_",ROUND('Tabla de Amortizacion'!J114,15),ROUND('Tabla de Amortizacion'!L114,15))))))</f>
        <v>0</v>
      </c>
    </row>
    <row r="114" spans="1:2" ht="12.75">
      <c r="A114" s="29">
        <f t="shared" si="3"/>
        <v>46149</v>
      </c>
      <c r="B114" s="89">
        <f>IF('CALCULADORA TIS PESOS H-1'!$F$10="Contractual",ROUND('Tabla de Amortizacion'!B115,15),IF('CALCULADORA TIS PESOS H-1'!$F$10="6% (Medio)",ROUND('Tabla de Amortizacion'!D115,15),IF('CALCULADORA TIS PESOS H-1'!$F$10="10% (Medio Alto)",ROUND('Tabla de Amortizacion'!F115,15),IF('CALCULADORA TIS PESOS H-1'!$F$10="14% (Alto)",ROUND('Tabla de Amortizacion'!H115,15),IF('CALCULADORA TIS PESOS H-1'!$F$10="20%_",ROUND('Tabla de Amortizacion'!J115,15),ROUND('Tabla de Amortizacion'!L115,15))))))</f>
        <v>0</v>
      </c>
    </row>
    <row r="115" spans="1:2" ht="12.75">
      <c r="A115" s="29">
        <f t="shared" si="3"/>
        <v>46180</v>
      </c>
      <c r="B115" s="89">
        <f>IF('CALCULADORA TIS PESOS H-1'!$F$10="Contractual",ROUND('Tabla de Amortizacion'!B116,15),IF('CALCULADORA TIS PESOS H-1'!$F$10="6% (Medio)",ROUND('Tabla de Amortizacion'!D116,15),IF('CALCULADORA TIS PESOS H-1'!$F$10="10% (Medio Alto)",ROUND('Tabla de Amortizacion'!F116,15),IF('CALCULADORA TIS PESOS H-1'!$F$10="14% (Alto)",ROUND('Tabla de Amortizacion'!H116,15),IF('CALCULADORA TIS PESOS H-1'!$F$10="20%_",ROUND('Tabla de Amortizacion'!J116,15),ROUND('Tabla de Amortizacion'!L116,15))))))</f>
        <v>0</v>
      </c>
    </row>
    <row r="116" spans="1:2" ht="12.75">
      <c r="A116" s="29">
        <f t="shared" si="3"/>
        <v>46210</v>
      </c>
      <c r="B116" s="89">
        <f>IF('CALCULADORA TIS PESOS H-1'!$F$10="Contractual",ROUND('Tabla de Amortizacion'!B117,15),IF('CALCULADORA TIS PESOS H-1'!$F$10="6% (Medio)",ROUND('Tabla de Amortizacion'!D117,15),IF('CALCULADORA TIS PESOS H-1'!$F$10="10% (Medio Alto)",ROUND('Tabla de Amortizacion'!F117,15),IF('CALCULADORA TIS PESOS H-1'!$F$10="14% (Alto)",ROUND('Tabla de Amortizacion'!H117,15),IF('CALCULADORA TIS PESOS H-1'!$F$10="20%_",ROUND('Tabla de Amortizacion'!J117,15),ROUND('Tabla de Amortizacion'!L117,15))))))</f>
        <v>0</v>
      </c>
    </row>
    <row r="117" spans="1:2" ht="12.75">
      <c r="A117" s="29">
        <f t="shared" si="3"/>
        <v>46241</v>
      </c>
      <c r="B117" s="89">
        <f>IF('CALCULADORA TIS PESOS H-1'!$F$10="Contractual",ROUND('Tabla de Amortizacion'!B118,15),IF('CALCULADORA TIS PESOS H-1'!$F$10="6% (Medio)",ROUND('Tabla de Amortizacion'!D118,15),IF('CALCULADORA TIS PESOS H-1'!$F$10="10% (Medio Alto)",ROUND('Tabla de Amortizacion'!F118,15),IF('CALCULADORA TIS PESOS H-1'!$F$10="14% (Alto)",ROUND('Tabla de Amortizacion'!H118,15),IF('CALCULADORA TIS PESOS H-1'!$F$10="20%_",ROUND('Tabla de Amortizacion'!J118,15),ROUND('Tabla de Amortizacion'!L118,15))))))</f>
        <v>0</v>
      </c>
    </row>
    <row r="118" spans="1:2" ht="12.75">
      <c r="A118" s="29">
        <f t="shared" si="3"/>
        <v>46272</v>
      </c>
      <c r="B118" s="89">
        <f>IF('CALCULADORA TIS PESOS H-1'!$F$10="Contractual",ROUND('Tabla de Amortizacion'!B119,15),IF('CALCULADORA TIS PESOS H-1'!$F$10="6% (Medio)",ROUND('Tabla de Amortizacion'!D119,15),IF('CALCULADORA TIS PESOS H-1'!$F$10="10% (Medio Alto)",ROUND('Tabla de Amortizacion'!F119,15),IF('CALCULADORA TIS PESOS H-1'!$F$10="14% (Alto)",ROUND('Tabla de Amortizacion'!H119,15),IF('CALCULADORA TIS PESOS H-1'!$F$10="20%_",ROUND('Tabla de Amortizacion'!J119,15),ROUND('Tabla de Amortizacion'!L119,15))))))</f>
        <v>0</v>
      </c>
    </row>
    <row r="119" spans="1:2" ht="12.75">
      <c r="A119" s="29">
        <f t="shared" si="3"/>
        <v>46302</v>
      </c>
      <c r="B119" s="89">
        <f>IF('CALCULADORA TIS PESOS H-1'!$F$10="Contractual",ROUND('Tabla de Amortizacion'!B120,15),IF('CALCULADORA TIS PESOS H-1'!$F$10="6% (Medio)",ROUND('Tabla de Amortizacion'!D120,15),IF('CALCULADORA TIS PESOS H-1'!$F$10="10% (Medio Alto)",ROUND('Tabla de Amortizacion'!F120,15),IF('CALCULADORA TIS PESOS H-1'!$F$10="14% (Alto)",ROUND('Tabla de Amortizacion'!H120,15),IF('CALCULADORA TIS PESOS H-1'!$F$10="20%_",ROUND('Tabla de Amortizacion'!J120,15),ROUND('Tabla de Amortizacion'!L120,15))))))</f>
        <v>0</v>
      </c>
    </row>
    <row r="120" spans="1:2" ht="12.75">
      <c r="A120" s="29">
        <f t="shared" si="3"/>
        <v>46333</v>
      </c>
      <c r="B120" s="89">
        <f>IF('CALCULADORA TIS PESOS H-1'!$F$10="Contractual",ROUND('Tabla de Amortizacion'!B121,15),IF('CALCULADORA TIS PESOS H-1'!$F$10="6% (Medio)",ROUND('Tabla de Amortizacion'!D121,15),IF('CALCULADORA TIS PESOS H-1'!$F$10="10% (Medio Alto)",ROUND('Tabla de Amortizacion'!F121,15),IF('CALCULADORA TIS PESOS H-1'!$F$10="14% (Alto)",ROUND('Tabla de Amortizacion'!H121,15),IF('CALCULADORA TIS PESOS H-1'!$F$10="20%_",ROUND('Tabla de Amortizacion'!J121,15),ROUND('Tabla de Amortizacion'!L121,15))))))</f>
        <v>0</v>
      </c>
    </row>
    <row r="121" spans="1:2" ht="12.75">
      <c r="A121" s="29">
        <f t="shared" si="3"/>
        <v>46363</v>
      </c>
      <c r="B121" s="89">
        <f>IF('CALCULADORA TIS PESOS H-1'!$F$10="Contractual",ROUND('Tabla de Amortizacion'!B122,15),IF('CALCULADORA TIS PESOS H-1'!$F$10="6% (Medio)",ROUND('Tabla de Amortizacion'!D122,15),IF('CALCULADORA TIS PESOS H-1'!$F$10="10% (Medio Alto)",ROUND('Tabla de Amortizacion'!F122,15),IF('CALCULADORA TIS PESOS H-1'!$F$10="14% (Alto)",ROUND('Tabla de Amortizacion'!H122,15),IF('CALCULADORA TIS PESOS H-1'!$F$10="20%_",ROUND('Tabla de Amortizacion'!J122,15),ROUND('Tabla de Amortizacion'!L122,15))))))</f>
        <v>0</v>
      </c>
    </row>
    <row r="122" spans="1:2" ht="12.75">
      <c r="A122" s="29">
        <f t="shared" si="3"/>
        <v>46394</v>
      </c>
      <c r="B122" s="89">
        <f>IF('CALCULADORA TIS PESOS H-1'!$F$10="Contractual",ROUND('Tabla de Amortizacion'!B123,15),IF('CALCULADORA TIS PESOS H-1'!$F$10="6% (Medio)",ROUND('Tabla de Amortizacion'!D123,15),IF('CALCULADORA TIS PESOS H-1'!$F$10="10% (Medio Alto)",ROUND('Tabla de Amortizacion'!F123,15),IF('CALCULADORA TIS PESOS H-1'!$F$10="14% (Alto)",ROUND('Tabla de Amortizacion'!H123,15),IF('CALCULADORA TIS PESOS H-1'!$F$10="20%_",ROUND('Tabla de Amortizacion'!J123,15),ROUND('Tabla de Amortizacion'!L123,15))))))</f>
        <v>0</v>
      </c>
    </row>
    <row r="123" spans="1:2" ht="12.75">
      <c r="A123" s="29">
        <f t="shared" si="3"/>
        <v>46425</v>
      </c>
      <c r="B123" s="89">
        <f>IF('CALCULADORA TIS PESOS H-1'!$F$10="Contractual",ROUND('Tabla de Amortizacion'!B124,15),IF('CALCULADORA TIS PESOS H-1'!$F$10="6% (Medio)",ROUND('Tabla de Amortizacion'!D124,15),IF('CALCULADORA TIS PESOS H-1'!$F$10="10% (Medio Alto)",ROUND('Tabla de Amortizacion'!F124,15),IF('CALCULADORA TIS PESOS H-1'!$F$10="14% (Alto)",ROUND('Tabla de Amortizacion'!H124,15),IF('CALCULADORA TIS PESOS H-1'!$F$10="20%_",ROUND('Tabla de Amortizacion'!J124,15),ROUND('Tabla de Amortizacion'!L124,15))))))</f>
        <v>0</v>
      </c>
    </row>
    <row r="124" spans="1:2" ht="12.75">
      <c r="A124" s="29">
        <f t="shared" si="3"/>
        <v>46453</v>
      </c>
      <c r="B124" s="89">
        <f>IF('CALCULADORA TIS PESOS H-1'!$F$10="Contractual",ROUND('Tabla de Amortizacion'!B125,15),IF('CALCULADORA TIS PESOS H-1'!$F$10="6% (Medio)",ROUND('Tabla de Amortizacion'!D125,15),IF('CALCULADORA TIS PESOS H-1'!$F$10="10% (Medio Alto)",ROUND('Tabla de Amortizacion'!F125,15),IF('CALCULADORA TIS PESOS H-1'!$F$10="14% (Alto)",ROUND('Tabla de Amortizacion'!H125,15),IF('CALCULADORA TIS PESOS H-1'!$F$10="20%_",ROUND('Tabla de Amortizacion'!J125,15),ROUND('Tabla de Amortizacion'!L125,15))))))</f>
        <v>0</v>
      </c>
    </row>
    <row r="125" spans="1:2" ht="12.75">
      <c r="A125" s="29">
        <f t="shared" si="3"/>
        <v>46484</v>
      </c>
      <c r="B125" s="89">
        <f>IF('CALCULADORA TIS PESOS H-1'!$F$10="Contractual",ROUND('Tabla de Amortizacion'!B126,15),IF('CALCULADORA TIS PESOS H-1'!$F$10="6% (Medio)",ROUND('Tabla de Amortizacion'!D126,15),IF('CALCULADORA TIS PESOS H-1'!$F$10="10% (Medio Alto)",ROUND('Tabla de Amortizacion'!F126,15),IF('CALCULADORA TIS PESOS H-1'!$F$10="14% (Alto)",ROUND('Tabla de Amortizacion'!H126,15),IF('CALCULADORA TIS PESOS H-1'!$F$10="20%_",ROUND('Tabla de Amortizacion'!J126,15),ROUND('Tabla de Amortizacion'!L126,15))))))</f>
        <v>0</v>
      </c>
    </row>
    <row r="126" spans="1:2" ht="12.75">
      <c r="A126" s="29">
        <f t="shared" si="3"/>
        <v>46514</v>
      </c>
      <c r="B126" s="89">
        <f>IF('CALCULADORA TIS PESOS H-1'!$F$10="Contractual",ROUND('Tabla de Amortizacion'!B127,15),IF('CALCULADORA TIS PESOS H-1'!$F$10="6% (Medio)",ROUND('Tabla de Amortizacion'!D127,15),IF('CALCULADORA TIS PESOS H-1'!$F$10="10% (Medio Alto)",ROUND('Tabla de Amortizacion'!F127,15),IF('CALCULADORA TIS PESOS H-1'!$F$10="14% (Alto)",ROUND('Tabla de Amortizacion'!H127,15),IF('CALCULADORA TIS PESOS H-1'!$F$10="20%_",ROUND('Tabla de Amortizacion'!J127,15),ROUND('Tabla de Amortizacion'!L127,15))))))</f>
        <v>0</v>
      </c>
    </row>
    <row r="127" spans="1:2" ht="12.75">
      <c r="A127" s="29">
        <f t="shared" si="3"/>
        <v>46545</v>
      </c>
      <c r="B127" s="89">
        <f>IF('CALCULADORA TIS PESOS H-1'!$F$10="Contractual",ROUND('Tabla de Amortizacion'!B128,15),IF('CALCULADORA TIS PESOS H-1'!$F$10="6% (Medio)",ROUND('Tabla de Amortizacion'!D128,15),IF('CALCULADORA TIS PESOS H-1'!$F$10="10% (Medio Alto)",ROUND('Tabla de Amortizacion'!F128,15),IF('CALCULADORA TIS PESOS H-1'!$F$10="14% (Alto)",ROUND('Tabla de Amortizacion'!H128,15),IF('CALCULADORA TIS PESOS H-1'!$F$10="20%_",ROUND('Tabla de Amortizacion'!J128,15),ROUND('Tabla de Amortizacion'!L128,15))))))</f>
        <v>0</v>
      </c>
    </row>
    <row r="128" spans="1:2" ht="12.75">
      <c r="A128" s="29">
        <f t="shared" si="3"/>
        <v>46575</v>
      </c>
      <c r="B128" s="89">
        <f>IF('CALCULADORA TIS PESOS H-1'!$F$10="Contractual",ROUND('Tabla de Amortizacion'!B129,15),IF('CALCULADORA TIS PESOS H-1'!$F$10="6% (Medio)",ROUND('Tabla de Amortizacion'!D129,15),IF('CALCULADORA TIS PESOS H-1'!$F$10="10% (Medio Alto)",ROUND('Tabla de Amortizacion'!F129,15),IF('CALCULADORA TIS PESOS H-1'!$F$10="14% (Alto)",ROUND('Tabla de Amortizacion'!H129,15),IF('CALCULADORA TIS PESOS H-1'!$F$10="20%_",ROUND('Tabla de Amortizacion'!J129,15),ROUND('Tabla de Amortizacion'!L129,15))))))</f>
        <v>0</v>
      </c>
    </row>
    <row r="129" spans="1:2" ht="12.75">
      <c r="A129" s="29">
        <f t="shared" si="3"/>
        <v>46606</v>
      </c>
      <c r="B129" s="89">
        <f>IF('CALCULADORA TIS PESOS H-1'!$F$10="Contractual",ROUND('Tabla de Amortizacion'!B130,15),IF('CALCULADORA TIS PESOS H-1'!$F$10="6% (Medio)",ROUND('Tabla de Amortizacion'!D130,15),IF('CALCULADORA TIS PESOS H-1'!$F$10="10% (Medio Alto)",ROUND('Tabla de Amortizacion'!F130,15),IF('CALCULADORA TIS PESOS H-1'!$F$10="14% (Alto)",ROUND('Tabla de Amortizacion'!H130,15),IF('CALCULADORA TIS PESOS H-1'!$F$10="20%_",ROUND('Tabla de Amortizacion'!J130,15),ROUND('Tabla de Amortizacion'!L130,15))))))</f>
        <v>0</v>
      </c>
    </row>
    <row r="130" spans="1:2" ht="12.75">
      <c r="A130" s="29">
        <f t="shared" si="3"/>
        <v>46637</v>
      </c>
      <c r="B130" s="89">
        <f>IF('CALCULADORA TIS PESOS H-1'!$F$10="Contractual",ROUND('Tabla de Amortizacion'!B131,15),IF('CALCULADORA TIS PESOS H-1'!$F$10="6% (Medio)",ROUND('Tabla de Amortizacion'!D131,15),IF('CALCULADORA TIS PESOS H-1'!$F$10="10% (Medio Alto)",ROUND('Tabla de Amortizacion'!F131,15),IF('CALCULADORA TIS PESOS H-1'!$F$10="14% (Alto)",ROUND('Tabla de Amortizacion'!H131,15),IF('CALCULADORA TIS PESOS H-1'!$F$10="20%_",ROUND('Tabla de Amortizacion'!J131,15),ROUND('Tabla de Amortizacion'!L131,15))))))</f>
        <v>0</v>
      </c>
    </row>
    <row r="131" spans="1:2" ht="12.75">
      <c r="A131" s="29">
        <f aca="true" t="shared" si="4" ref="A131:A162">_XLL.FECHA.MES(A130,1)</f>
        <v>46667</v>
      </c>
      <c r="B131" s="89">
        <f>IF('CALCULADORA TIS PESOS H-1'!$F$10="Contractual",ROUND('Tabla de Amortizacion'!B132,15),IF('CALCULADORA TIS PESOS H-1'!$F$10="6% (Medio)",ROUND('Tabla de Amortizacion'!D132,15),IF('CALCULADORA TIS PESOS H-1'!$F$10="10% (Medio Alto)",ROUND('Tabla de Amortizacion'!F132,15),IF('CALCULADORA TIS PESOS H-1'!$F$10="14% (Alto)",ROUND('Tabla de Amortizacion'!H132,15),IF('CALCULADORA TIS PESOS H-1'!$F$10="20%_",ROUND('Tabla de Amortizacion'!J132,15),ROUND('Tabla de Amortizacion'!L132,15))))))</f>
        <v>0</v>
      </c>
    </row>
    <row r="132" spans="1:2" ht="12.75">
      <c r="A132" s="29">
        <f t="shared" si="4"/>
        <v>46698</v>
      </c>
      <c r="B132" s="89">
        <f>IF('CALCULADORA TIS PESOS H-1'!$F$10="Contractual",ROUND('Tabla de Amortizacion'!B133,15),IF('CALCULADORA TIS PESOS H-1'!$F$10="6% (Medio)",ROUND('Tabla de Amortizacion'!D133,15),IF('CALCULADORA TIS PESOS H-1'!$F$10="10% (Medio Alto)",ROUND('Tabla de Amortizacion'!F133,15),IF('CALCULADORA TIS PESOS H-1'!$F$10="14% (Alto)",ROUND('Tabla de Amortizacion'!H133,15),IF('CALCULADORA TIS PESOS H-1'!$F$10="20%_",ROUND('Tabla de Amortizacion'!J133,15),ROUND('Tabla de Amortizacion'!L133,15))))))</f>
        <v>0</v>
      </c>
    </row>
    <row r="133" spans="1:2" ht="12.75">
      <c r="A133" s="29">
        <f t="shared" si="4"/>
        <v>46728</v>
      </c>
      <c r="B133" s="89">
        <f>IF('CALCULADORA TIS PESOS H-1'!$F$10="Contractual",ROUND('Tabla de Amortizacion'!B134,15),IF('CALCULADORA TIS PESOS H-1'!$F$10="6% (Medio)",ROUND('Tabla de Amortizacion'!D134,15),IF('CALCULADORA TIS PESOS H-1'!$F$10="10% (Medio Alto)",ROUND('Tabla de Amortizacion'!F134,15),IF('CALCULADORA TIS PESOS H-1'!$F$10="14% (Alto)",ROUND('Tabla de Amortizacion'!H134,15),IF('CALCULADORA TIS PESOS H-1'!$F$10="20%_",ROUND('Tabla de Amortizacion'!J134,15),ROUND('Tabla de Amortizacion'!L134,15))))))</f>
        <v>0</v>
      </c>
    </row>
    <row r="134" spans="1:2" ht="12.75">
      <c r="A134" s="29">
        <f t="shared" si="4"/>
        <v>46759</v>
      </c>
      <c r="B134" s="89">
        <f>IF('CALCULADORA TIS PESOS H-1'!$F$10="Contractual",ROUND('Tabla de Amortizacion'!B135,15),IF('CALCULADORA TIS PESOS H-1'!$F$10="6% (Medio)",ROUND('Tabla de Amortizacion'!D135,15),IF('CALCULADORA TIS PESOS H-1'!$F$10="10% (Medio Alto)",ROUND('Tabla de Amortizacion'!F135,15),IF('CALCULADORA TIS PESOS H-1'!$F$10="14% (Alto)",ROUND('Tabla de Amortizacion'!H135,15),IF('CALCULADORA TIS PESOS H-1'!$F$10="20%_",ROUND('Tabla de Amortizacion'!J135,15),ROUND('Tabla de Amortizacion'!L135,15))))))</f>
        <v>0</v>
      </c>
    </row>
    <row r="135" spans="1:2" ht="12.75">
      <c r="A135" s="29">
        <f t="shared" si="4"/>
        <v>46790</v>
      </c>
      <c r="B135" s="89">
        <f>IF('CALCULADORA TIS PESOS H-1'!$F$10="Contractual",ROUND('Tabla de Amortizacion'!B136,15),IF('CALCULADORA TIS PESOS H-1'!$F$10="6% (Medio)",ROUND('Tabla de Amortizacion'!D136,15),IF('CALCULADORA TIS PESOS H-1'!$F$10="10% (Medio Alto)",ROUND('Tabla de Amortizacion'!F136,15),IF('CALCULADORA TIS PESOS H-1'!$F$10="14% (Alto)",ROUND('Tabla de Amortizacion'!H136,15),IF('CALCULADORA TIS PESOS H-1'!$F$10="20%_",ROUND('Tabla de Amortizacion'!J136,15),ROUND('Tabla de Amortizacion'!L136,15))))))</f>
        <v>0</v>
      </c>
    </row>
    <row r="136" spans="1:2" ht="12.75">
      <c r="A136" s="29">
        <f t="shared" si="4"/>
        <v>46819</v>
      </c>
      <c r="B136" s="89">
        <f>IF('CALCULADORA TIS PESOS H-1'!$F$10="Contractual",ROUND('Tabla de Amortizacion'!B137,15),IF('CALCULADORA TIS PESOS H-1'!$F$10="6% (Medio)",ROUND('Tabla de Amortizacion'!D137,15),IF('CALCULADORA TIS PESOS H-1'!$F$10="10% (Medio Alto)",ROUND('Tabla de Amortizacion'!F137,15),IF('CALCULADORA TIS PESOS H-1'!$F$10="14% (Alto)",ROUND('Tabla de Amortizacion'!H137,15),IF('CALCULADORA TIS PESOS H-1'!$F$10="20%_",ROUND('Tabla de Amortizacion'!J137,15),ROUND('Tabla de Amortizacion'!L137,15))))))</f>
        <v>0</v>
      </c>
    </row>
    <row r="137" spans="1:2" ht="12.75">
      <c r="A137" s="29">
        <f t="shared" si="4"/>
        <v>46850</v>
      </c>
      <c r="B137" s="89">
        <f>IF('CALCULADORA TIS PESOS H-1'!$F$10="Contractual",ROUND('Tabla de Amortizacion'!B138,15),IF('CALCULADORA TIS PESOS H-1'!$F$10="6% (Medio)",ROUND('Tabla de Amortizacion'!D138,15),IF('CALCULADORA TIS PESOS H-1'!$F$10="10% (Medio Alto)",ROUND('Tabla de Amortizacion'!F138,15),IF('CALCULADORA TIS PESOS H-1'!$F$10="14% (Alto)",ROUND('Tabla de Amortizacion'!H138,15),IF('CALCULADORA TIS PESOS H-1'!$F$10="20%_",ROUND('Tabla de Amortizacion'!J138,15),ROUND('Tabla de Amortizacion'!L138,15))))))</f>
        <v>0</v>
      </c>
    </row>
    <row r="138" spans="1:2" ht="12.75">
      <c r="A138" s="29">
        <f t="shared" si="4"/>
        <v>46880</v>
      </c>
      <c r="B138" s="89">
        <f>IF('CALCULADORA TIS PESOS H-1'!$F$10="Contractual",ROUND('Tabla de Amortizacion'!B139,15),IF('CALCULADORA TIS PESOS H-1'!$F$10="6% (Medio)",ROUND('Tabla de Amortizacion'!D139,15),IF('CALCULADORA TIS PESOS H-1'!$F$10="10% (Medio Alto)",ROUND('Tabla de Amortizacion'!F139,15),IF('CALCULADORA TIS PESOS H-1'!$F$10="14% (Alto)",ROUND('Tabla de Amortizacion'!H139,15),IF('CALCULADORA TIS PESOS H-1'!$F$10="20%_",ROUND('Tabla de Amortizacion'!J139,15),ROUND('Tabla de Amortizacion'!L139,15))))))</f>
        <v>0</v>
      </c>
    </row>
    <row r="139" spans="1:2" ht="12.75">
      <c r="A139" s="29">
        <f t="shared" si="4"/>
        <v>46911</v>
      </c>
      <c r="B139" s="89">
        <f>IF('CALCULADORA TIS PESOS H-1'!$F$10="Contractual",ROUND('Tabla de Amortizacion'!B140,15),IF('CALCULADORA TIS PESOS H-1'!$F$10="6% (Medio)",ROUND('Tabla de Amortizacion'!D140,15),IF('CALCULADORA TIS PESOS H-1'!$F$10="10% (Medio Alto)",ROUND('Tabla de Amortizacion'!F140,15),IF('CALCULADORA TIS PESOS H-1'!$F$10="14% (Alto)",ROUND('Tabla de Amortizacion'!H140,15),IF('CALCULADORA TIS PESOS H-1'!$F$10="20%_",ROUND('Tabla de Amortizacion'!J140,15),ROUND('Tabla de Amortizacion'!L140,15))))))</f>
        <v>0</v>
      </c>
    </row>
    <row r="140" spans="1:2" ht="12.75">
      <c r="A140" s="29">
        <f t="shared" si="4"/>
        <v>46941</v>
      </c>
      <c r="B140" s="89">
        <f>IF('CALCULADORA TIS PESOS H-1'!$F$10="Contractual",ROUND('Tabla de Amortizacion'!B141,15),IF('CALCULADORA TIS PESOS H-1'!$F$10="6% (Medio)",ROUND('Tabla de Amortizacion'!D141,15),IF('CALCULADORA TIS PESOS H-1'!$F$10="10% (Medio Alto)",ROUND('Tabla de Amortizacion'!F141,15),IF('CALCULADORA TIS PESOS H-1'!$F$10="14% (Alto)",ROUND('Tabla de Amortizacion'!H141,15),IF('CALCULADORA TIS PESOS H-1'!$F$10="20%_",ROUND('Tabla de Amortizacion'!J141,15),ROUND('Tabla de Amortizacion'!L141,15))))))</f>
        <v>0</v>
      </c>
    </row>
    <row r="141" spans="1:2" ht="12.75">
      <c r="A141" s="29">
        <f t="shared" si="4"/>
        <v>46972</v>
      </c>
      <c r="B141" s="89">
        <f>IF('CALCULADORA TIS PESOS H-1'!$F$10="Contractual",ROUND('Tabla de Amortizacion'!B142,15),IF('CALCULADORA TIS PESOS H-1'!$F$10="6% (Medio)",ROUND('Tabla de Amortizacion'!D142,15),IF('CALCULADORA TIS PESOS H-1'!$F$10="10% (Medio Alto)",ROUND('Tabla de Amortizacion'!F142,15),IF('CALCULADORA TIS PESOS H-1'!$F$10="14% (Alto)",ROUND('Tabla de Amortizacion'!H142,15),IF('CALCULADORA TIS PESOS H-1'!$F$10="20%_",ROUND('Tabla de Amortizacion'!J142,15),ROUND('Tabla de Amortizacion'!L142,15))))))</f>
        <v>0</v>
      </c>
    </row>
    <row r="142" spans="1:2" ht="12.75">
      <c r="A142" s="29">
        <f t="shared" si="4"/>
        <v>47003</v>
      </c>
      <c r="B142" s="89">
        <f>IF('CALCULADORA TIS PESOS H-1'!$F$10="Contractual",ROUND('Tabla de Amortizacion'!B143,15),IF('CALCULADORA TIS PESOS H-1'!$F$10="6% (Medio)",ROUND('Tabla de Amortizacion'!D143,15),IF('CALCULADORA TIS PESOS H-1'!$F$10="10% (Medio Alto)",ROUND('Tabla de Amortizacion'!F143,15),IF('CALCULADORA TIS PESOS H-1'!$F$10="14% (Alto)",ROUND('Tabla de Amortizacion'!H143,15),IF('CALCULADORA TIS PESOS H-1'!$F$10="20%_",ROUND('Tabla de Amortizacion'!J143,15),ROUND('Tabla de Amortizacion'!L143,15))))))</f>
        <v>0</v>
      </c>
    </row>
    <row r="143" spans="1:2" ht="12.75">
      <c r="A143" s="29">
        <f t="shared" si="4"/>
        <v>47033</v>
      </c>
      <c r="B143" s="89">
        <f>IF('CALCULADORA TIS PESOS H-1'!$F$10="Contractual",ROUND('Tabla de Amortizacion'!B144,15),IF('CALCULADORA TIS PESOS H-1'!$F$10="6% (Medio)",ROUND('Tabla de Amortizacion'!D144,15),IF('CALCULADORA TIS PESOS H-1'!$F$10="10% (Medio Alto)",ROUND('Tabla de Amortizacion'!F144,15),IF('CALCULADORA TIS PESOS H-1'!$F$10="14% (Alto)",ROUND('Tabla de Amortizacion'!H144,15),IF('CALCULADORA TIS PESOS H-1'!$F$10="20%_",ROUND('Tabla de Amortizacion'!J144,15),ROUND('Tabla de Amortizacion'!L144,15))))))</f>
        <v>0</v>
      </c>
    </row>
    <row r="144" spans="1:2" ht="12.75">
      <c r="A144" s="29">
        <f t="shared" si="4"/>
        <v>47064</v>
      </c>
      <c r="B144" s="89">
        <f>IF('CALCULADORA TIS PESOS H-1'!$F$10="Contractual",ROUND('Tabla de Amortizacion'!B145,15),IF('CALCULADORA TIS PESOS H-1'!$F$10="6% (Medio)",ROUND('Tabla de Amortizacion'!D145,15),IF('CALCULADORA TIS PESOS H-1'!$F$10="10% (Medio Alto)",ROUND('Tabla de Amortizacion'!F145,15),IF('CALCULADORA TIS PESOS H-1'!$F$10="14% (Alto)",ROUND('Tabla de Amortizacion'!H145,15),IF('CALCULADORA TIS PESOS H-1'!$F$10="20%_",ROUND('Tabla de Amortizacion'!J145,15),ROUND('Tabla de Amortizacion'!L145,15))))))</f>
        <v>0</v>
      </c>
    </row>
    <row r="145" spans="1:2" ht="12.75">
      <c r="A145" s="29">
        <f t="shared" si="4"/>
        <v>47094</v>
      </c>
      <c r="B145" s="89">
        <f>IF('CALCULADORA TIS PESOS H-1'!$F$10="Contractual",ROUND('Tabla de Amortizacion'!B146,15),IF('CALCULADORA TIS PESOS H-1'!$F$10="6% (Medio)",ROUND('Tabla de Amortizacion'!D146,15),IF('CALCULADORA TIS PESOS H-1'!$F$10="10% (Medio Alto)",ROUND('Tabla de Amortizacion'!F146,15),IF('CALCULADORA TIS PESOS H-1'!$F$10="14% (Alto)",ROUND('Tabla de Amortizacion'!H146,15),IF('CALCULADORA TIS PESOS H-1'!$F$10="20%_",ROUND('Tabla de Amortizacion'!J146,15),ROUND('Tabla de Amortizacion'!L146,15))))))</f>
        <v>0</v>
      </c>
    </row>
    <row r="146" spans="1:2" ht="12.75">
      <c r="A146" s="29">
        <f t="shared" si="4"/>
        <v>47125</v>
      </c>
      <c r="B146" s="89">
        <f>IF('CALCULADORA TIS PESOS H-1'!$F$10="Contractual",ROUND('Tabla de Amortizacion'!B147,15),IF('CALCULADORA TIS PESOS H-1'!$F$10="6% (Medio)",ROUND('Tabla de Amortizacion'!D147,15),IF('CALCULADORA TIS PESOS H-1'!$F$10="10% (Medio Alto)",ROUND('Tabla de Amortizacion'!F147,15),IF('CALCULADORA TIS PESOS H-1'!$F$10="14% (Alto)",ROUND('Tabla de Amortizacion'!H147,15),IF('CALCULADORA TIS PESOS H-1'!$F$10="20%_",ROUND('Tabla de Amortizacion'!J147,15),ROUND('Tabla de Amortizacion'!L147,15))))))</f>
        <v>0</v>
      </c>
    </row>
    <row r="147" spans="1:2" ht="12.75">
      <c r="A147" s="29">
        <f t="shared" si="4"/>
        <v>47156</v>
      </c>
      <c r="B147" s="89">
        <f>IF('CALCULADORA TIS PESOS H-1'!$F$10="Contractual",ROUND('Tabla de Amortizacion'!B148,15),IF('CALCULADORA TIS PESOS H-1'!$F$10="6% (Medio)",ROUND('Tabla de Amortizacion'!D148,15),IF('CALCULADORA TIS PESOS H-1'!$F$10="10% (Medio Alto)",ROUND('Tabla de Amortizacion'!F148,15),IF('CALCULADORA TIS PESOS H-1'!$F$10="14% (Alto)",ROUND('Tabla de Amortizacion'!H148,15),IF('CALCULADORA TIS PESOS H-1'!$F$10="20%_",ROUND('Tabla de Amortizacion'!J148,15),ROUND('Tabla de Amortizacion'!L148,15))))))</f>
        <v>0</v>
      </c>
    </row>
    <row r="148" spans="1:2" ht="12.75">
      <c r="A148" s="29">
        <f t="shared" si="4"/>
        <v>47184</v>
      </c>
      <c r="B148" s="89">
        <f>IF('CALCULADORA TIS PESOS H-1'!$F$10="Contractual",ROUND('Tabla de Amortizacion'!B149,15),IF('CALCULADORA TIS PESOS H-1'!$F$10="6% (Medio)",ROUND('Tabla de Amortizacion'!D149,15),IF('CALCULADORA TIS PESOS H-1'!$F$10="10% (Medio Alto)",ROUND('Tabla de Amortizacion'!F149,15),IF('CALCULADORA TIS PESOS H-1'!$F$10="14% (Alto)",ROUND('Tabla de Amortizacion'!H149,15),IF('CALCULADORA TIS PESOS H-1'!$F$10="20%_",ROUND('Tabla de Amortizacion'!J149,15),ROUND('Tabla de Amortizacion'!L149,15))))))</f>
        <v>0</v>
      </c>
    </row>
    <row r="149" spans="1:2" ht="12.75">
      <c r="A149" s="29">
        <f t="shared" si="4"/>
        <v>47215</v>
      </c>
      <c r="B149" s="89">
        <f>IF('CALCULADORA TIS PESOS H-1'!$F$10="Contractual",ROUND('Tabla de Amortizacion'!B150,15),IF('CALCULADORA TIS PESOS H-1'!$F$10="6% (Medio)",ROUND('Tabla de Amortizacion'!D150,15),IF('CALCULADORA TIS PESOS H-1'!$F$10="10% (Medio Alto)",ROUND('Tabla de Amortizacion'!F150,15),IF('CALCULADORA TIS PESOS H-1'!$F$10="14% (Alto)",ROUND('Tabla de Amortizacion'!H150,15),IF('CALCULADORA TIS PESOS H-1'!$F$10="20%_",ROUND('Tabla de Amortizacion'!J150,15),ROUND('Tabla de Amortizacion'!L150,15))))))</f>
        <v>0</v>
      </c>
    </row>
    <row r="150" spans="1:2" ht="12.75">
      <c r="A150" s="29">
        <f t="shared" si="4"/>
        <v>47245</v>
      </c>
      <c r="B150" s="89">
        <f>IF('CALCULADORA TIS PESOS H-1'!$F$10="Contractual",ROUND('Tabla de Amortizacion'!B151,15),IF('CALCULADORA TIS PESOS H-1'!$F$10="6% (Medio)",ROUND('Tabla de Amortizacion'!D151,15),IF('CALCULADORA TIS PESOS H-1'!$F$10="10% (Medio Alto)",ROUND('Tabla de Amortizacion'!F151,15),IF('CALCULADORA TIS PESOS H-1'!$F$10="14% (Alto)",ROUND('Tabla de Amortizacion'!H151,15),IF('CALCULADORA TIS PESOS H-1'!$F$10="20%_",ROUND('Tabla de Amortizacion'!J151,15),ROUND('Tabla de Amortizacion'!L151,15))))))</f>
        <v>0</v>
      </c>
    </row>
    <row r="151" spans="1:2" ht="12.75">
      <c r="A151" s="29">
        <f t="shared" si="4"/>
        <v>47276</v>
      </c>
      <c r="B151" s="89">
        <f>IF('CALCULADORA TIS PESOS H-1'!$F$10="Contractual",ROUND('Tabla de Amortizacion'!B152,15),IF('CALCULADORA TIS PESOS H-1'!$F$10="6% (Medio)",ROUND('Tabla de Amortizacion'!D152,15),IF('CALCULADORA TIS PESOS H-1'!$F$10="10% (Medio Alto)",ROUND('Tabla de Amortizacion'!F152,15),IF('CALCULADORA TIS PESOS H-1'!$F$10="14% (Alto)",ROUND('Tabla de Amortizacion'!H152,15),IF('CALCULADORA TIS PESOS H-1'!$F$10="20%_",ROUND('Tabla de Amortizacion'!J152,15),ROUND('Tabla de Amortizacion'!L152,15))))))</f>
        <v>0</v>
      </c>
    </row>
    <row r="152" spans="1:2" ht="12.75">
      <c r="A152" s="29">
        <f t="shared" si="4"/>
        <v>47306</v>
      </c>
      <c r="B152" s="89">
        <f>IF('CALCULADORA TIS PESOS H-1'!$F$10="Contractual",ROUND('Tabla de Amortizacion'!B153,15),IF('CALCULADORA TIS PESOS H-1'!$F$10="6% (Medio)",ROUND('Tabla de Amortizacion'!D153,15),IF('CALCULADORA TIS PESOS H-1'!$F$10="10% (Medio Alto)",ROUND('Tabla de Amortizacion'!F153,15),IF('CALCULADORA TIS PESOS H-1'!$F$10="14% (Alto)",ROUND('Tabla de Amortizacion'!H153,15),IF('CALCULADORA TIS PESOS H-1'!$F$10="20%_",ROUND('Tabla de Amortizacion'!J153,15),ROUND('Tabla de Amortizacion'!L153,15))))))</f>
        <v>0</v>
      </c>
    </row>
    <row r="153" spans="1:2" ht="12.75">
      <c r="A153" s="29">
        <f t="shared" si="4"/>
        <v>47337</v>
      </c>
      <c r="B153" s="89">
        <f>IF('CALCULADORA TIS PESOS H-1'!$F$10="Contractual",ROUND('Tabla de Amortizacion'!B154,15),IF('CALCULADORA TIS PESOS H-1'!$F$10="6% (Medio)",ROUND('Tabla de Amortizacion'!D154,15),IF('CALCULADORA TIS PESOS H-1'!$F$10="10% (Medio Alto)",ROUND('Tabla de Amortizacion'!F154,15),IF('CALCULADORA TIS PESOS H-1'!$F$10="14% (Alto)",ROUND('Tabla de Amortizacion'!H154,15),IF('CALCULADORA TIS PESOS H-1'!$F$10="20%_",ROUND('Tabla de Amortizacion'!J154,15),ROUND('Tabla de Amortizacion'!L154,15))))))</f>
        <v>0</v>
      </c>
    </row>
    <row r="154" spans="1:2" ht="12.75">
      <c r="A154" s="29">
        <f t="shared" si="4"/>
        <v>47368</v>
      </c>
      <c r="B154" s="89">
        <f>IF('CALCULADORA TIS PESOS H-1'!$F$10="Contractual",ROUND('Tabla de Amortizacion'!B155,15),IF('CALCULADORA TIS PESOS H-1'!$F$10="6% (Medio)",ROUND('Tabla de Amortizacion'!D155,15),IF('CALCULADORA TIS PESOS H-1'!$F$10="10% (Medio Alto)",ROUND('Tabla de Amortizacion'!F155,15),IF('CALCULADORA TIS PESOS H-1'!$F$10="14% (Alto)",ROUND('Tabla de Amortizacion'!H155,15),IF('CALCULADORA TIS PESOS H-1'!$F$10="20%_",ROUND('Tabla de Amortizacion'!J155,15),ROUND('Tabla de Amortizacion'!L155,15))))))</f>
        <v>0</v>
      </c>
    </row>
    <row r="155" spans="1:2" ht="12.75">
      <c r="A155" s="29">
        <f t="shared" si="4"/>
        <v>47398</v>
      </c>
      <c r="B155" s="89">
        <f>IF('CALCULADORA TIS PESOS H-1'!$F$10="Contractual",ROUND('Tabla de Amortizacion'!B156,15),IF('CALCULADORA TIS PESOS H-1'!$F$10="6% (Medio)",ROUND('Tabla de Amortizacion'!D156,15),IF('CALCULADORA TIS PESOS H-1'!$F$10="10% (Medio Alto)",ROUND('Tabla de Amortizacion'!F156,15),IF('CALCULADORA TIS PESOS H-1'!$F$10="14% (Alto)",ROUND('Tabla de Amortizacion'!H156,15),IF('CALCULADORA TIS PESOS H-1'!$F$10="20%_",ROUND('Tabla de Amortizacion'!J156,15),ROUND('Tabla de Amortizacion'!L156,15))))))</f>
        <v>0</v>
      </c>
    </row>
    <row r="156" spans="1:2" ht="12.75">
      <c r="A156" s="29">
        <f t="shared" si="4"/>
        <v>47429</v>
      </c>
      <c r="B156" s="89">
        <f>IF('CALCULADORA TIS PESOS H-1'!$F$10="Contractual",ROUND('Tabla de Amortizacion'!B157,15),IF('CALCULADORA TIS PESOS H-1'!$F$10="6% (Medio)",ROUND('Tabla de Amortizacion'!D157,15),IF('CALCULADORA TIS PESOS H-1'!$F$10="10% (Medio Alto)",ROUND('Tabla de Amortizacion'!F157,15),IF('CALCULADORA TIS PESOS H-1'!$F$10="14% (Alto)",ROUND('Tabla de Amortizacion'!H157,15),IF('CALCULADORA TIS PESOS H-1'!$F$10="20%_",ROUND('Tabla de Amortizacion'!J157,15),ROUND('Tabla de Amortizacion'!L157,15))))))</f>
        <v>0</v>
      </c>
    </row>
    <row r="157" spans="1:2" ht="12.75">
      <c r="A157" s="29">
        <f t="shared" si="4"/>
        <v>47459</v>
      </c>
      <c r="B157" s="89">
        <f>IF('CALCULADORA TIS PESOS H-1'!$F$10="Contractual",ROUND('Tabla de Amortizacion'!B158,15),IF('CALCULADORA TIS PESOS H-1'!$F$10="6% (Medio)",ROUND('Tabla de Amortizacion'!D158,15),IF('CALCULADORA TIS PESOS H-1'!$F$10="10% (Medio Alto)",ROUND('Tabla de Amortizacion'!F158,15),IF('CALCULADORA TIS PESOS H-1'!$F$10="14% (Alto)",ROUND('Tabla de Amortizacion'!H158,15),IF('CALCULADORA TIS PESOS H-1'!$F$10="20%_",ROUND('Tabla de Amortizacion'!J158,15),ROUND('Tabla de Amortizacion'!L158,15))))))</f>
        <v>0</v>
      </c>
    </row>
    <row r="158" spans="1:2" ht="12.75">
      <c r="A158" s="29">
        <f t="shared" si="4"/>
        <v>47490</v>
      </c>
      <c r="B158" s="89">
        <f>IF('CALCULADORA TIS PESOS H-1'!$F$10="Contractual",ROUND('Tabla de Amortizacion'!B159,15),IF('CALCULADORA TIS PESOS H-1'!$F$10="6% (Medio)",ROUND('Tabla de Amortizacion'!D159,15),IF('CALCULADORA TIS PESOS H-1'!$F$10="10% (Medio Alto)",ROUND('Tabla de Amortizacion'!F159,15),IF('CALCULADORA TIS PESOS H-1'!$F$10="14% (Alto)",ROUND('Tabla de Amortizacion'!H159,15),IF('CALCULADORA TIS PESOS H-1'!$F$10="20%_",ROUND('Tabla de Amortizacion'!J159,15),ROUND('Tabla de Amortizacion'!L159,15))))))</f>
        <v>0</v>
      </c>
    </row>
    <row r="159" spans="1:2" ht="12.75">
      <c r="A159" s="29">
        <f t="shared" si="4"/>
        <v>47521</v>
      </c>
      <c r="B159" s="89">
        <f>IF('CALCULADORA TIS PESOS H-1'!$F$10="Contractual",ROUND('Tabla de Amortizacion'!B160,15),IF('CALCULADORA TIS PESOS H-1'!$F$10="6% (Medio)",ROUND('Tabla de Amortizacion'!D160,15),IF('CALCULADORA TIS PESOS H-1'!$F$10="10% (Medio Alto)",ROUND('Tabla de Amortizacion'!F160,15),IF('CALCULADORA TIS PESOS H-1'!$F$10="14% (Alto)",ROUND('Tabla de Amortizacion'!H160,15),IF('CALCULADORA TIS PESOS H-1'!$F$10="20%_",ROUND('Tabla de Amortizacion'!J160,15),ROUND('Tabla de Amortizacion'!L160,15))))))</f>
        <v>0</v>
      </c>
    </row>
    <row r="160" spans="1:2" ht="12.75">
      <c r="A160" s="29">
        <f t="shared" si="4"/>
        <v>47549</v>
      </c>
      <c r="B160" s="89">
        <f>IF('CALCULADORA TIS PESOS H-1'!$F$10="Contractual",ROUND('Tabla de Amortizacion'!B161,15),IF('CALCULADORA TIS PESOS H-1'!$F$10="6% (Medio)",ROUND('Tabla de Amortizacion'!D161,15),IF('CALCULADORA TIS PESOS H-1'!$F$10="10% (Medio Alto)",ROUND('Tabla de Amortizacion'!F161,15),IF('CALCULADORA TIS PESOS H-1'!$F$10="14% (Alto)",ROUND('Tabla de Amortizacion'!H161,15),IF('CALCULADORA TIS PESOS H-1'!$F$10="20%_",ROUND('Tabla de Amortizacion'!J161,15),ROUND('Tabla de Amortizacion'!L161,15))))))</f>
        <v>0</v>
      </c>
    </row>
    <row r="161" spans="1:2" ht="12.75">
      <c r="A161" s="29">
        <f t="shared" si="4"/>
        <v>47580</v>
      </c>
      <c r="B161" s="89">
        <f>IF('CALCULADORA TIS PESOS H-1'!$F$10="Contractual",ROUND('Tabla de Amortizacion'!B162,15),IF('CALCULADORA TIS PESOS H-1'!$F$10="6% (Medio)",ROUND('Tabla de Amortizacion'!D162,15),IF('CALCULADORA TIS PESOS H-1'!$F$10="10% (Medio Alto)",ROUND('Tabla de Amortizacion'!F162,15),IF('CALCULADORA TIS PESOS H-1'!$F$10="14% (Alto)",ROUND('Tabla de Amortizacion'!H162,15),IF('CALCULADORA TIS PESOS H-1'!$F$10="20%_",ROUND('Tabla de Amortizacion'!J162,15),ROUND('Tabla de Amortizacion'!L162,15))))))</f>
        <v>0</v>
      </c>
    </row>
    <row r="162" spans="1:2" ht="12.75">
      <c r="A162" s="29">
        <f t="shared" si="4"/>
        <v>47610</v>
      </c>
      <c r="B162" s="89">
        <f>IF('CALCULADORA TIS PESOS H-1'!$F$10="Contractual",ROUND('Tabla de Amortizacion'!B163,15),IF('CALCULADORA TIS PESOS H-1'!$F$10="6% (Medio)",ROUND('Tabla de Amortizacion'!D163,15),IF('CALCULADORA TIS PESOS H-1'!$F$10="10% (Medio Alto)",ROUND('Tabla de Amortizacion'!F163,15),IF('CALCULADORA TIS PESOS H-1'!$F$10="14% (Alto)",ROUND('Tabla de Amortizacion'!H163,15),IF('CALCULADORA TIS PESOS H-1'!$F$10="20%_",ROUND('Tabla de Amortizacion'!J163,15),ROUND('Tabla de Amortizacion'!L163,15))))))</f>
        <v>0</v>
      </c>
    </row>
    <row r="163" spans="1:2" ht="12.75">
      <c r="A163" s="29">
        <f aca="true" t="shared" si="5" ref="A163:A181">_XLL.FECHA.MES(A162,1)</f>
        <v>47641</v>
      </c>
      <c r="B163" s="89">
        <f>IF('CALCULADORA TIS PESOS H-1'!$F$10="Contractual",ROUND('Tabla de Amortizacion'!B164,15),IF('CALCULADORA TIS PESOS H-1'!$F$10="6% (Medio)",ROUND('Tabla de Amortizacion'!D164,15),IF('CALCULADORA TIS PESOS H-1'!$F$10="10% (Medio Alto)",ROUND('Tabla de Amortizacion'!F164,15),IF('CALCULADORA TIS PESOS H-1'!$F$10="14% (Alto)",ROUND('Tabla de Amortizacion'!H164,15),IF('CALCULADORA TIS PESOS H-1'!$F$10="20%_",ROUND('Tabla de Amortizacion'!J164,15),ROUND('Tabla de Amortizacion'!L164,15))))))</f>
        <v>0</v>
      </c>
    </row>
    <row r="164" spans="1:2" ht="12.75">
      <c r="A164" s="29">
        <f t="shared" si="5"/>
        <v>47671</v>
      </c>
      <c r="B164" s="89">
        <f>IF('CALCULADORA TIS PESOS H-1'!$F$10="Contractual",ROUND('Tabla de Amortizacion'!B165,15),IF('CALCULADORA TIS PESOS H-1'!$F$10="6% (Medio)",ROUND('Tabla de Amortizacion'!D165,15),IF('CALCULADORA TIS PESOS H-1'!$F$10="10% (Medio Alto)",ROUND('Tabla de Amortizacion'!F165,15),IF('CALCULADORA TIS PESOS H-1'!$F$10="14% (Alto)",ROUND('Tabla de Amortizacion'!H165,15),IF('CALCULADORA TIS PESOS H-1'!$F$10="20%_",ROUND('Tabla de Amortizacion'!J165,15),ROUND('Tabla de Amortizacion'!L165,15))))))</f>
        <v>0</v>
      </c>
    </row>
    <row r="165" spans="1:2" ht="12.75">
      <c r="A165" s="29">
        <f t="shared" si="5"/>
        <v>47702</v>
      </c>
      <c r="B165" s="89">
        <f>IF('CALCULADORA TIS PESOS H-1'!$F$10="Contractual",ROUND('Tabla de Amortizacion'!B166,15),IF('CALCULADORA TIS PESOS H-1'!$F$10="6% (Medio)",ROUND('Tabla de Amortizacion'!D166,15),IF('CALCULADORA TIS PESOS H-1'!$F$10="10% (Medio Alto)",ROUND('Tabla de Amortizacion'!F166,15),IF('CALCULADORA TIS PESOS H-1'!$F$10="14% (Alto)",ROUND('Tabla de Amortizacion'!H166,15),IF('CALCULADORA TIS PESOS H-1'!$F$10="20%_",ROUND('Tabla de Amortizacion'!J166,15),ROUND('Tabla de Amortizacion'!L166,15))))))</f>
        <v>0</v>
      </c>
    </row>
    <row r="166" spans="1:2" ht="12.75">
      <c r="A166" s="29">
        <f t="shared" si="5"/>
        <v>47733</v>
      </c>
      <c r="B166" s="89">
        <f>IF('CALCULADORA TIS PESOS H-1'!$F$10="Contractual",ROUND('Tabla de Amortizacion'!B167,15),IF('CALCULADORA TIS PESOS H-1'!$F$10="6% (Medio)",ROUND('Tabla de Amortizacion'!D167,15),IF('CALCULADORA TIS PESOS H-1'!$F$10="10% (Medio Alto)",ROUND('Tabla de Amortizacion'!F167,15),IF('CALCULADORA TIS PESOS H-1'!$F$10="14% (Alto)",ROUND('Tabla de Amortizacion'!H167,15),IF('CALCULADORA TIS PESOS H-1'!$F$10="20%_",ROUND('Tabla de Amortizacion'!J167,15),ROUND('Tabla de Amortizacion'!L167,15))))))</f>
        <v>0</v>
      </c>
    </row>
    <row r="167" spans="1:2" ht="12.75">
      <c r="A167" s="29">
        <f t="shared" si="5"/>
        <v>47763</v>
      </c>
      <c r="B167" s="89">
        <f>IF('CALCULADORA TIS PESOS H-1'!$F$10="Contractual",ROUND('Tabla de Amortizacion'!B168,15),IF('CALCULADORA TIS PESOS H-1'!$F$10="6% (Medio)",ROUND('Tabla de Amortizacion'!D168,15),IF('CALCULADORA TIS PESOS H-1'!$F$10="10% (Medio Alto)",ROUND('Tabla de Amortizacion'!F168,15),IF('CALCULADORA TIS PESOS H-1'!$F$10="14% (Alto)",ROUND('Tabla de Amortizacion'!H168,15),IF('CALCULADORA TIS PESOS H-1'!$F$10="20%_",ROUND('Tabla de Amortizacion'!J168,15),ROUND('Tabla de Amortizacion'!L168,15))))))</f>
        <v>0</v>
      </c>
    </row>
    <row r="168" spans="1:2" ht="12.75">
      <c r="A168" s="29">
        <f t="shared" si="5"/>
        <v>47794</v>
      </c>
      <c r="B168" s="89">
        <f>IF('CALCULADORA TIS PESOS H-1'!$F$10="Contractual",ROUND('Tabla de Amortizacion'!B169,15),IF('CALCULADORA TIS PESOS H-1'!$F$10="6% (Medio)",ROUND('Tabla de Amortizacion'!D169,15),IF('CALCULADORA TIS PESOS H-1'!$F$10="10% (Medio Alto)",ROUND('Tabla de Amortizacion'!F169,15),IF('CALCULADORA TIS PESOS H-1'!$F$10="14% (Alto)",ROUND('Tabla de Amortizacion'!H169,15),IF('CALCULADORA TIS PESOS H-1'!$F$10="20%_",ROUND('Tabla de Amortizacion'!J169,15),ROUND('Tabla de Amortizacion'!L169,15))))))</f>
        <v>0</v>
      </c>
    </row>
    <row r="169" spans="1:2" ht="12.75">
      <c r="A169" s="29">
        <f t="shared" si="5"/>
        <v>47824</v>
      </c>
      <c r="B169" s="89">
        <f>IF('CALCULADORA TIS PESOS H-1'!$F$10="Contractual",ROUND('Tabla de Amortizacion'!B170,15),IF('CALCULADORA TIS PESOS H-1'!$F$10="6% (Medio)",ROUND('Tabla de Amortizacion'!D170,15),IF('CALCULADORA TIS PESOS H-1'!$F$10="10% (Medio Alto)",ROUND('Tabla de Amortizacion'!F170,15),IF('CALCULADORA TIS PESOS H-1'!$F$10="14% (Alto)",ROUND('Tabla de Amortizacion'!H170,15),IF('CALCULADORA TIS PESOS H-1'!$F$10="20%_",ROUND('Tabla de Amortizacion'!J170,15),ROUND('Tabla de Amortizacion'!L170,15))))))</f>
        <v>0</v>
      </c>
    </row>
    <row r="170" spans="1:2" ht="12.75">
      <c r="A170" s="29">
        <f t="shared" si="5"/>
        <v>47855</v>
      </c>
      <c r="B170" s="89">
        <f>IF('CALCULADORA TIS PESOS H-1'!$F$10="Contractual",ROUND('Tabla de Amortizacion'!B171,15),IF('CALCULADORA TIS PESOS H-1'!$F$10="6% (Medio)",ROUND('Tabla de Amortizacion'!D171,15),IF('CALCULADORA TIS PESOS H-1'!$F$10="10% (Medio Alto)",ROUND('Tabla de Amortizacion'!F171,15),IF('CALCULADORA TIS PESOS H-1'!$F$10="14% (Alto)",ROUND('Tabla de Amortizacion'!H171,15),IF('CALCULADORA TIS PESOS H-1'!$F$10="20%_",ROUND('Tabla de Amortizacion'!J171,15),ROUND('Tabla de Amortizacion'!L171,15))))))</f>
        <v>0</v>
      </c>
    </row>
    <row r="171" spans="1:2" ht="12.75">
      <c r="A171" s="29">
        <f t="shared" si="5"/>
        <v>47886</v>
      </c>
      <c r="B171" s="89">
        <f>IF('CALCULADORA TIS PESOS H-1'!$F$10="Contractual",ROUND('Tabla de Amortizacion'!B172,15),IF('CALCULADORA TIS PESOS H-1'!$F$10="6% (Medio)",ROUND('Tabla de Amortizacion'!D172,15),IF('CALCULADORA TIS PESOS H-1'!$F$10="10% (Medio Alto)",ROUND('Tabla de Amortizacion'!F172,15),IF('CALCULADORA TIS PESOS H-1'!$F$10="14% (Alto)",ROUND('Tabla de Amortizacion'!H172,15),IF('CALCULADORA TIS PESOS H-1'!$F$10="20%_",ROUND('Tabla de Amortizacion'!J172,15),ROUND('Tabla de Amortizacion'!L172,15))))))</f>
        <v>0</v>
      </c>
    </row>
    <row r="172" spans="1:2" ht="12.75">
      <c r="A172" s="29">
        <f t="shared" si="5"/>
        <v>47914</v>
      </c>
      <c r="B172" s="89">
        <f>IF('CALCULADORA TIS PESOS H-1'!$F$10="Contractual",ROUND('Tabla de Amortizacion'!B173,15),IF('CALCULADORA TIS PESOS H-1'!$F$10="6% (Medio)",ROUND('Tabla de Amortizacion'!D173,15),IF('CALCULADORA TIS PESOS H-1'!$F$10="10% (Medio Alto)",ROUND('Tabla de Amortizacion'!F173,15),IF('CALCULADORA TIS PESOS H-1'!$F$10="14% (Alto)",ROUND('Tabla de Amortizacion'!H173,15),IF('CALCULADORA TIS PESOS H-1'!$F$10="20%_",ROUND('Tabla de Amortizacion'!J173,15),ROUND('Tabla de Amortizacion'!L173,15))))))</f>
        <v>0</v>
      </c>
    </row>
    <row r="173" spans="1:2" ht="12.75">
      <c r="A173" s="29">
        <f t="shared" si="5"/>
        <v>47945</v>
      </c>
      <c r="B173" s="89">
        <f>IF('CALCULADORA TIS PESOS H-1'!$F$10="Contractual",ROUND('Tabla de Amortizacion'!B174,15),IF('CALCULADORA TIS PESOS H-1'!$F$10="6% (Medio)",ROUND('Tabla de Amortizacion'!D174,15),IF('CALCULADORA TIS PESOS H-1'!$F$10="10% (Medio Alto)",ROUND('Tabla de Amortizacion'!F174,15),IF('CALCULADORA TIS PESOS H-1'!$F$10="14% (Alto)",ROUND('Tabla de Amortizacion'!H174,15),IF('CALCULADORA TIS PESOS H-1'!$F$10="20%_",ROUND('Tabla de Amortizacion'!J174,15),ROUND('Tabla de Amortizacion'!L174,15))))))</f>
        <v>0</v>
      </c>
    </row>
    <row r="174" spans="1:2" ht="12.75">
      <c r="A174" s="29">
        <f t="shared" si="5"/>
        <v>47975</v>
      </c>
      <c r="B174" s="89">
        <f>IF('CALCULADORA TIS PESOS H-1'!$F$10="Contractual",ROUND('Tabla de Amortizacion'!B175,15),IF('CALCULADORA TIS PESOS H-1'!$F$10="6% (Medio)",ROUND('Tabla de Amortizacion'!D175,15),IF('CALCULADORA TIS PESOS H-1'!$F$10="10% (Medio Alto)",ROUND('Tabla de Amortizacion'!F175,15),IF('CALCULADORA TIS PESOS H-1'!$F$10="14% (Alto)",ROUND('Tabla de Amortizacion'!H175,15),IF('CALCULADORA TIS PESOS H-1'!$F$10="20%_",ROUND('Tabla de Amortizacion'!J175,15),ROUND('Tabla de Amortizacion'!L175,15))))))</f>
        <v>0</v>
      </c>
    </row>
    <row r="175" spans="1:2" ht="12.75">
      <c r="A175" s="29">
        <f t="shared" si="5"/>
        <v>48006</v>
      </c>
      <c r="B175" s="89">
        <f>IF('CALCULADORA TIS PESOS H-1'!$F$10="Contractual",ROUND('Tabla de Amortizacion'!B176,15),IF('CALCULADORA TIS PESOS H-1'!$F$10="6% (Medio)",ROUND('Tabla de Amortizacion'!D176,15),IF('CALCULADORA TIS PESOS H-1'!$F$10="10% (Medio Alto)",ROUND('Tabla de Amortizacion'!F176,15),IF('CALCULADORA TIS PESOS H-1'!$F$10="14% (Alto)",ROUND('Tabla de Amortizacion'!H176,15),IF('CALCULADORA TIS PESOS H-1'!$F$10="20%_",ROUND('Tabla de Amortizacion'!J176,15),ROUND('Tabla de Amortizacion'!L176,15))))))</f>
        <v>0</v>
      </c>
    </row>
    <row r="176" spans="1:2" ht="12.75">
      <c r="A176" s="29">
        <f t="shared" si="5"/>
        <v>48036</v>
      </c>
      <c r="B176" s="89">
        <f>IF('CALCULADORA TIS PESOS H-1'!$F$10="Contractual",ROUND('Tabla de Amortizacion'!B177,15),IF('CALCULADORA TIS PESOS H-1'!$F$10="6% (Medio)",ROUND('Tabla de Amortizacion'!D177,15),IF('CALCULADORA TIS PESOS H-1'!$F$10="10% (Medio Alto)",ROUND('Tabla de Amortizacion'!F177,15),IF('CALCULADORA TIS PESOS H-1'!$F$10="14% (Alto)",ROUND('Tabla de Amortizacion'!H177,15),IF('CALCULADORA TIS PESOS H-1'!$F$10="20%_",ROUND('Tabla de Amortizacion'!J177,15),ROUND('Tabla de Amortizacion'!L177,15))))))</f>
        <v>0</v>
      </c>
    </row>
    <row r="177" spans="1:2" ht="12.75">
      <c r="A177" s="29">
        <f t="shared" si="5"/>
        <v>48067</v>
      </c>
      <c r="B177" s="89">
        <f>IF('CALCULADORA TIS PESOS H-1'!$F$10="Contractual",ROUND('Tabla de Amortizacion'!B178,15),IF('CALCULADORA TIS PESOS H-1'!$F$10="6% (Medio)",ROUND('Tabla de Amortizacion'!D178,15),IF('CALCULADORA TIS PESOS H-1'!$F$10="10% (Medio Alto)",ROUND('Tabla de Amortizacion'!F178,15),IF('CALCULADORA TIS PESOS H-1'!$F$10="14% (Alto)",ROUND('Tabla de Amortizacion'!H178,15),IF('CALCULADORA TIS PESOS H-1'!$F$10="20%_",ROUND('Tabla de Amortizacion'!J178,15),ROUND('Tabla de Amortizacion'!L178,15))))))</f>
        <v>0</v>
      </c>
    </row>
    <row r="178" spans="1:2" ht="12.75">
      <c r="A178" s="29">
        <f t="shared" si="5"/>
        <v>48098</v>
      </c>
      <c r="B178" s="89">
        <f>IF('CALCULADORA TIS PESOS H-1'!$F$10="Contractual",ROUND('Tabla de Amortizacion'!B179,15),IF('CALCULADORA TIS PESOS H-1'!$F$10="6% (Medio)",ROUND('Tabla de Amortizacion'!D179,15),IF('CALCULADORA TIS PESOS H-1'!$F$10="10% (Medio Alto)",ROUND('Tabla de Amortizacion'!F179,15),IF('CALCULADORA TIS PESOS H-1'!$F$10="14% (Alto)",ROUND('Tabla de Amortizacion'!H179,15),IF('CALCULADORA TIS PESOS H-1'!$F$10="20%_",ROUND('Tabla de Amortizacion'!J179,15),ROUND('Tabla de Amortizacion'!L179,15))))))</f>
        <v>0</v>
      </c>
    </row>
    <row r="179" spans="1:2" ht="12.75">
      <c r="A179" s="29">
        <f t="shared" si="5"/>
        <v>48128</v>
      </c>
      <c r="B179" s="89">
        <f>IF('CALCULADORA TIS PESOS H-1'!$F$10="Contractual",ROUND('Tabla de Amortizacion'!B180,15),IF('CALCULADORA TIS PESOS H-1'!$F$10="6% (Medio)",ROUND('Tabla de Amortizacion'!D180,15),IF('CALCULADORA TIS PESOS H-1'!$F$10="10% (Medio Alto)",ROUND('Tabla de Amortizacion'!F180,15),IF('CALCULADORA TIS PESOS H-1'!$F$10="14% (Alto)",ROUND('Tabla de Amortizacion'!H180,15),IF('CALCULADORA TIS PESOS H-1'!$F$10="20%_",ROUND('Tabla de Amortizacion'!J180,15),ROUND('Tabla de Amortizacion'!L180,15))))))</f>
        <v>0</v>
      </c>
    </row>
    <row r="180" spans="1:2" ht="12.75">
      <c r="A180" s="29">
        <f t="shared" si="5"/>
        <v>48159</v>
      </c>
      <c r="B180" s="89">
        <f>IF('CALCULADORA TIS PESOS H-1'!$F$10="Contractual",ROUND('Tabla de Amortizacion'!B181,15),IF('CALCULADORA TIS PESOS H-1'!$F$10="6% (Medio)",ROUND('Tabla de Amortizacion'!D181,15),IF('CALCULADORA TIS PESOS H-1'!$F$10="10% (Medio Alto)",ROUND('Tabla de Amortizacion'!F181,15),IF('CALCULADORA TIS PESOS H-1'!$F$10="14% (Alto)",ROUND('Tabla de Amortizacion'!H181,15),IF('CALCULADORA TIS PESOS H-1'!$F$10="20%_",ROUND('Tabla de Amortizacion'!J181,15),ROUND('Tabla de Amortizacion'!L181,15))))))</f>
        <v>0</v>
      </c>
    </row>
    <row r="181" spans="1:2" ht="13.5" thickBot="1">
      <c r="A181" s="30">
        <f t="shared" si="5"/>
        <v>48189</v>
      </c>
      <c r="B181" s="89">
        <f>IF('CALCULADORA TIS PESOS H-1'!$F$10="Contractual",ROUND('Tabla de Amortizacion'!B182,15),IF('CALCULADORA TIS PESOS H-1'!$F$10="6% (Medio)",ROUND('Tabla de Amortizacion'!D182,15),IF('CALCULADORA TIS PESOS H-1'!$F$10="10% (Medio Alto)",ROUND('Tabla de Amortizacion'!F182,15),IF('CALCULADORA TIS PESOS H-1'!$F$10="14% (Alto)",ROUND('Tabla de Amortizacion'!H182,15),IF('CALCULADORA TIS PESOS H-1'!$F$10="20%_",ROUND('Tabla de Amortizacion'!J182,15),ROUND('Tabla de Amortizacion'!L182,15))))))</f>
        <v>0</v>
      </c>
    </row>
  </sheetData>
  <sheetProtection password="C5F9" sheet="1"/>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A1:M185"/>
  <sheetViews>
    <sheetView zoomScale="80" zoomScaleNormal="80" zoomScaleSheetLayoutView="90" zoomScalePageLayoutView="0" workbookViewId="0" topLeftCell="A1">
      <pane xSplit="1" ySplit="2" topLeftCell="B55" activePane="bottomRight" state="frozen"/>
      <selection pane="topLeft" activeCell="A1" sqref="A1"/>
      <selection pane="topRight" activeCell="B1" sqref="B1"/>
      <selection pane="bottomLeft" activeCell="A3" sqref="A3"/>
      <selection pane="bottomRight" activeCell="A82" sqref="A82:IV82"/>
    </sheetView>
  </sheetViews>
  <sheetFormatPr defaultColWidth="0" defaultRowHeight="12.75"/>
  <cols>
    <col min="1" max="1" width="13.28125" style="6" bestFit="1" customWidth="1"/>
    <col min="2" max="2" width="33.8515625" style="6" bestFit="1" customWidth="1"/>
    <col min="3" max="3" width="3.421875" style="6" customWidth="1"/>
    <col min="4" max="4" width="30.28125" style="6" bestFit="1" customWidth="1"/>
    <col min="5" max="5" width="3.421875" style="6" customWidth="1"/>
    <col min="6" max="6" width="35.28125" style="6" bestFit="1" customWidth="1"/>
    <col min="7" max="7" width="3.421875" style="6" customWidth="1"/>
    <col min="8" max="8" width="29.57421875" style="6" bestFit="1" customWidth="1"/>
    <col min="9" max="9" width="3.421875" style="6" customWidth="1"/>
    <col min="10" max="10" width="24.421875" style="6" bestFit="1" customWidth="1"/>
    <col min="11" max="11" width="4.8515625" style="6" customWidth="1"/>
    <col min="12" max="12" width="29.140625" style="6" bestFit="1" customWidth="1"/>
    <col min="13" max="19" width="11.421875" style="6" hidden="1" customWidth="1"/>
    <col min="20" max="16384" width="0" style="6" hidden="1" customWidth="1"/>
  </cols>
  <sheetData>
    <row r="1" spans="1:12" ht="13.5" thickBot="1">
      <c r="A1" s="207" t="s">
        <v>0</v>
      </c>
      <c r="B1" s="75" t="s">
        <v>41</v>
      </c>
      <c r="D1" s="75" t="s">
        <v>42</v>
      </c>
      <c r="F1" s="75" t="s">
        <v>43</v>
      </c>
      <c r="H1" s="75" t="s">
        <v>44</v>
      </c>
      <c r="J1" s="75" t="s">
        <v>45</v>
      </c>
      <c r="L1" s="75" t="s">
        <v>1</v>
      </c>
    </row>
    <row r="2" spans="1:12" ht="13.5" thickBot="1">
      <c r="A2" s="208"/>
      <c r="B2" s="85" t="str">
        <f>+Características!$B$1</f>
        <v>TIS Pesos H-1 A 2026</v>
      </c>
      <c r="D2" s="86" t="str">
        <f>+Características!$B$1</f>
        <v>TIS Pesos H-1 A 2026</v>
      </c>
      <c r="F2" s="86" t="str">
        <f>+Características!$B$1</f>
        <v>TIS Pesos H-1 A 2026</v>
      </c>
      <c r="H2" s="86" t="str">
        <f>+Características!$B$1</f>
        <v>TIS Pesos H-1 A 2026</v>
      </c>
      <c r="J2" s="86" t="str">
        <f>+Características!$B$1</f>
        <v>TIS Pesos H-1 A 2026</v>
      </c>
      <c r="K2" s="87"/>
      <c r="L2" s="86" t="str">
        <f>+Características!$B$1</f>
        <v>TIS Pesos H-1 A 2026</v>
      </c>
    </row>
    <row r="3" spans="1:12" ht="15">
      <c r="A3" s="160">
        <v>42742</v>
      </c>
      <c r="B3" s="216">
        <v>0.01284154</v>
      </c>
      <c r="C3" s="74"/>
      <c r="D3" s="212">
        <v>0.01284154</v>
      </c>
      <c r="E3" s="188"/>
      <c r="F3" s="212">
        <v>0.01284154</v>
      </c>
      <c r="G3" s="188"/>
      <c r="H3" s="212">
        <v>0.01284154</v>
      </c>
      <c r="I3" s="188"/>
      <c r="J3" s="212">
        <v>0.01284154</v>
      </c>
      <c r="K3" s="188"/>
      <c r="L3" s="212">
        <v>0.01284154</v>
      </c>
    </row>
    <row r="4" spans="1:12" ht="15">
      <c r="A4" s="160">
        <v>42773</v>
      </c>
      <c r="B4" s="216">
        <v>0.01607811</v>
      </c>
      <c r="C4" s="74"/>
      <c r="D4" s="212">
        <v>0.01607811</v>
      </c>
      <c r="E4" s="188"/>
      <c r="F4" s="212">
        <v>0.01607811</v>
      </c>
      <c r="G4" s="188"/>
      <c r="H4" s="212">
        <v>0.01607811</v>
      </c>
      <c r="I4" s="188"/>
      <c r="J4" s="212">
        <v>0.01607811</v>
      </c>
      <c r="K4" s="188"/>
      <c r="L4" s="212">
        <v>0.01607811</v>
      </c>
    </row>
    <row r="5" spans="1:12" ht="15">
      <c r="A5" s="160">
        <v>42801</v>
      </c>
      <c r="B5" s="216">
        <v>0.01414138</v>
      </c>
      <c r="C5" s="74"/>
      <c r="D5" s="212">
        <v>0.01414138</v>
      </c>
      <c r="E5" s="188"/>
      <c r="F5" s="212">
        <v>0.01414138</v>
      </c>
      <c r="G5" s="188"/>
      <c r="H5" s="212">
        <v>0.01414138</v>
      </c>
      <c r="I5" s="188"/>
      <c r="J5" s="212">
        <v>0.01414138</v>
      </c>
      <c r="K5" s="188"/>
      <c r="L5" s="212">
        <v>0.01414138</v>
      </c>
    </row>
    <row r="6" spans="1:12" ht="15">
      <c r="A6" s="160">
        <v>42832</v>
      </c>
      <c r="B6" s="216">
        <v>0.00908298</v>
      </c>
      <c r="C6" s="74"/>
      <c r="D6" s="212">
        <v>0.00908298</v>
      </c>
      <c r="E6" s="188"/>
      <c r="F6" s="212">
        <v>0.00908298</v>
      </c>
      <c r="G6" s="188"/>
      <c r="H6" s="212">
        <v>0.00908298</v>
      </c>
      <c r="I6" s="188"/>
      <c r="J6" s="212">
        <v>0.00908298</v>
      </c>
      <c r="K6" s="188"/>
      <c r="L6" s="212">
        <v>0.00908298</v>
      </c>
    </row>
    <row r="7" spans="1:12" ht="15">
      <c r="A7" s="160">
        <v>42862</v>
      </c>
      <c r="B7" s="216">
        <v>0.01300211</v>
      </c>
      <c r="D7" s="212">
        <v>0.01300211</v>
      </c>
      <c r="E7" s="188"/>
      <c r="F7" s="212">
        <v>0.01300211</v>
      </c>
      <c r="G7" s="188"/>
      <c r="H7" s="212">
        <v>0.01300211</v>
      </c>
      <c r="I7" s="188"/>
      <c r="J7" s="212">
        <v>0.01300211</v>
      </c>
      <c r="K7" s="188"/>
      <c r="L7" s="212">
        <v>0.01300211</v>
      </c>
    </row>
    <row r="8" spans="1:12" ht="15">
      <c r="A8" s="160">
        <v>42893</v>
      </c>
      <c r="B8" s="216">
        <v>0.0153048</v>
      </c>
      <c r="D8" s="212">
        <v>0.0153048</v>
      </c>
      <c r="E8" s="188"/>
      <c r="F8" s="212">
        <v>0.0153048</v>
      </c>
      <c r="G8" s="188"/>
      <c r="H8" s="212">
        <v>0.0153048</v>
      </c>
      <c r="I8" s="188"/>
      <c r="J8" s="212">
        <v>0.0153048</v>
      </c>
      <c r="K8" s="188"/>
      <c r="L8" s="212">
        <v>0.0153048</v>
      </c>
    </row>
    <row r="9" spans="1:12" ht="15">
      <c r="A9" s="160">
        <v>42923</v>
      </c>
      <c r="B9" s="216">
        <v>0.01756414</v>
      </c>
      <c r="D9" s="212">
        <v>0.01756414</v>
      </c>
      <c r="E9" s="188"/>
      <c r="F9" s="212">
        <v>0.01756414</v>
      </c>
      <c r="G9" s="188"/>
      <c r="H9" s="212">
        <v>0.01756414</v>
      </c>
      <c r="I9" s="188"/>
      <c r="J9" s="212">
        <v>0.01756414</v>
      </c>
      <c r="K9" s="188"/>
      <c r="L9" s="212">
        <v>0.01756414</v>
      </c>
    </row>
    <row r="10" spans="1:12" ht="15">
      <c r="A10" s="160">
        <v>42954</v>
      </c>
      <c r="B10" s="216">
        <v>0.00977019</v>
      </c>
      <c r="D10" s="212">
        <v>0.00977019</v>
      </c>
      <c r="E10" s="188"/>
      <c r="F10" s="212">
        <v>0.00977019</v>
      </c>
      <c r="G10" s="188"/>
      <c r="H10" s="212">
        <v>0.00977019</v>
      </c>
      <c r="I10" s="188"/>
      <c r="J10" s="212">
        <v>0.00977019</v>
      </c>
      <c r="K10" s="188"/>
      <c r="L10" s="212">
        <v>0.00977019</v>
      </c>
    </row>
    <row r="11" spans="1:12" ht="15">
      <c r="A11" s="160">
        <v>42985</v>
      </c>
      <c r="B11" s="216">
        <v>0.01133641</v>
      </c>
      <c r="D11" s="212">
        <v>0.01133641</v>
      </c>
      <c r="E11" s="188"/>
      <c r="F11" s="212">
        <v>0.01133641</v>
      </c>
      <c r="G11" s="188"/>
      <c r="H11" s="212">
        <v>0.01133641</v>
      </c>
      <c r="I11" s="188"/>
      <c r="J11" s="212">
        <v>0.01133641</v>
      </c>
      <c r="K11" s="188"/>
      <c r="L11" s="212">
        <v>0.01133641</v>
      </c>
    </row>
    <row r="12" spans="1:12" ht="15">
      <c r="A12" s="160">
        <v>43015</v>
      </c>
      <c r="B12" s="216">
        <v>0.01554462</v>
      </c>
      <c r="D12" s="212">
        <v>0.01554462</v>
      </c>
      <c r="E12" s="188"/>
      <c r="F12" s="212">
        <v>0.01554462</v>
      </c>
      <c r="G12" s="188"/>
      <c r="H12" s="212">
        <v>0.01554462</v>
      </c>
      <c r="I12" s="188"/>
      <c r="J12" s="212">
        <v>0.01554462</v>
      </c>
      <c r="K12" s="188"/>
      <c r="L12" s="212">
        <v>0.01554462</v>
      </c>
    </row>
    <row r="13" spans="1:12" ht="15">
      <c r="A13" s="160">
        <v>43046</v>
      </c>
      <c r="B13" s="216">
        <v>0.01137033</v>
      </c>
      <c r="D13" s="212">
        <v>0.01137033</v>
      </c>
      <c r="E13" s="188"/>
      <c r="F13" s="212">
        <v>0.01137033</v>
      </c>
      <c r="G13" s="188"/>
      <c r="H13" s="212">
        <v>0.01137033</v>
      </c>
      <c r="I13" s="188"/>
      <c r="J13" s="212">
        <v>0.01137033</v>
      </c>
      <c r="K13" s="188"/>
      <c r="L13" s="212">
        <v>0.01137033</v>
      </c>
    </row>
    <row r="14" spans="1:12" ht="15">
      <c r="A14" s="163">
        <v>43076</v>
      </c>
      <c r="B14" s="216">
        <v>0.01359955</v>
      </c>
      <c r="C14" s="74"/>
      <c r="D14" s="212">
        <v>0.01359955</v>
      </c>
      <c r="E14" s="188"/>
      <c r="F14" s="212">
        <v>0.01359955</v>
      </c>
      <c r="G14" s="188"/>
      <c r="H14" s="212">
        <v>0.01359955</v>
      </c>
      <c r="I14" s="188"/>
      <c r="J14" s="212">
        <v>0.01359955</v>
      </c>
      <c r="K14" s="188"/>
      <c r="L14" s="212">
        <v>0.01359955</v>
      </c>
    </row>
    <row r="15" spans="1:12" ht="15">
      <c r="A15" s="163">
        <v>43107</v>
      </c>
      <c r="B15" s="216">
        <v>0.01440922</v>
      </c>
      <c r="C15" s="74"/>
      <c r="D15" s="212">
        <v>0.01440922</v>
      </c>
      <c r="E15" s="188"/>
      <c r="F15" s="212">
        <v>0.01440922</v>
      </c>
      <c r="G15" s="188"/>
      <c r="H15" s="212">
        <v>0.01440922</v>
      </c>
      <c r="I15" s="188"/>
      <c r="J15" s="212">
        <v>0.01440922</v>
      </c>
      <c r="K15" s="188"/>
      <c r="L15" s="212">
        <v>0.01440922</v>
      </c>
    </row>
    <row r="16" spans="1:12" ht="15">
      <c r="A16" s="163">
        <v>43138</v>
      </c>
      <c r="B16" s="216">
        <v>0.01274202</v>
      </c>
      <c r="C16" s="74"/>
      <c r="D16" s="212">
        <v>0.01274202</v>
      </c>
      <c r="E16" s="188"/>
      <c r="F16" s="212">
        <v>0.01274202</v>
      </c>
      <c r="G16" s="188"/>
      <c r="H16" s="212">
        <v>0.01274202</v>
      </c>
      <c r="I16" s="188"/>
      <c r="J16" s="212">
        <v>0.01274202</v>
      </c>
      <c r="K16" s="188"/>
      <c r="L16" s="212">
        <v>0.01274202</v>
      </c>
    </row>
    <row r="17" spans="1:12" ht="15">
      <c r="A17" s="163">
        <v>43166</v>
      </c>
      <c r="B17" s="216">
        <v>0.01410382</v>
      </c>
      <c r="C17" s="74"/>
      <c r="D17" s="212">
        <v>0.01410382</v>
      </c>
      <c r="E17" s="188"/>
      <c r="F17" s="212">
        <v>0.01410382</v>
      </c>
      <c r="G17" s="188"/>
      <c r="H17" s="212">
        <v>0.01410382</v>
      </c>
      <c r="I17" s="188"/>
      <c r="J17" s="212">
        <v>0.01410382</v>
      </c>
      <c r="K17" s="188"/>
      <c r="L17" s="212">
        <v>0.01410382</v>
      </c>
    </row>
    <row r="18" spans="1:12" ht="15">
      <c r="A18" s="163">
        <v>43197</v>
      </c>
      <c r="B18" s="216">
        <v>0.01118991</v>
      </c>
      <c r="C18" s="74"/>
      <c r="D18" s="212">
        <v>0.01118991</v>
      </c>
      <c r="E18" s="188"/>
      <c r="F18" s="212">
        <v>0.01118991</v>
      </c>
      <c r="G18" s="188"/>
      <c r="H18" s="212">
        <v>0.01118991</v>
      </c>
      <c r="I18" s="188"/>
      <c r="J18" s="212">
        <v>0.01118991</v>
      </c>
      <c r="K18" s="188"/>
      <c r="L18" s="212">
        <v>0.01118991</v>
      </c>
    </row>
    <row r="19" spans="1:12" ht="15">
      <c r="A19" s="160">
        <v>43227</v>
      </c>
      <c r="B19" s="216">
        <v>0.01238639</v>
      </c>
      <c r="C19" s="74"/>
      <c r="D19" s="212">
        <v>0.01238639</v>
      </c>
      <c r="E19" s="188"/>
      <c r="F19" s="212">
        <v>0.01238639</v>
      </c>
      <c r="G19" s="188"/>
      <c r="H19" s="212">
        <v>0.01238639</v>
      </c>
      <c r="I19" s="188"/>
      <c r="J19" s="212">
        <v>0.01238639</v>
      </c>
      <c r="K19" s="188"/>
      <c r="L19" s="212">
        <v>0.01238639</v>
      </c>
    </row>
    <row r="20" spans="1:12" ht="15">
      <c r="A20" s="160">
        <v>43258</v>
      </c>
      <c r="B20" s="216">
        <v>0.01408569</v>
      </c>
      <c r="C20" s="74"/>
      <c r="D20" s="212">
        <v>0.01408569</v>
      </c>
      <c r="E20" s="188"/>
      <c r="F20" s="212">
        <v>0.01408569</v>
      </c>
      <c r="G20" s="188"/>
      <c r="H20" s="212">
        <v>0.01408569</v>
      </c>
      <c r="I20" s="188"/>
      <c r="J20" s="212">
        <v>0.01408569</v>
      </c>
      <c r="K20" s="188"/>
      <c r="L20" s="212">
        <v>0.01408569</v>
      </c>
    </row>
    <row r="21" spans="1:12" ht="15">
      <c r="A21" s="160">
        <v>43288</v>
      </c>
      <c r="B21" s="216">
        <v>0.01263502</v>
      </c>
      <c r="C21" s="74"/>
      <c r="D21" s="212">
        <v>0.01263502</v>
      </c>
      <c r="E21" s="188"/>
      <c r="F21" s="212">
        <v>0.01263502</v>
      </c>
      <c r="G21" s="188"/>
      <c r="H21" s="212">
        <v>0.01263502</v>
      </c>
      <c r="I21" s="188"/>
      <c r="J21" s="212">
        <v>0.01263502</v>
      </c>
      <c r="K21" s="188"/>
      <c r="L21" s="212">
        <v>0.01263502</v>
      </c>
    </row>
    <row r="22" spans="1:12" ht="15">
      <c r="A22" s="160">
        <v>43319</v>
      </c>
      <c r="B22" s="216">
        <v>0.0149282</v>
      </c>
      <c r="C22" s="74"/>
      <c r="D22" s="212">
        <v>0.0149282</v>
      </c>
      <c r="E22" s="188"/>
      <c r="F22" s="212">
        <v>0.0149282</v>
      </c>
      <c r="G22" s="188"/>
      <c r="H22" s="212">
        <v>0.0149282</v>
      </c>
      <c r="I22" s="188"/>
      <c r="J22" s="212">
        <v>0.0149282</v>
      </c>
      <c r="K22" s="188"/>
      <c r="L22" s="212">
        <v>0.0149282</v>
      </c>
    </row>
    <row r="23" spans="1:12" ht="15">
      <c r="A23" s="160">
        <v>43350</v>
      </c>
      <c r="B23" s="216">
        <v>0.01479352</v>
      </c>
      <c r="C23" s="74"/>
      <c r="D23" s="212">
        <v>0.01479352</v>
      </c>
      <c r="E23" s="188"/>
      <c r="F23" s="212">
        <v>0.01479352</v>
      </c>
      <c r="G23" s="188"/>
      <c r="H23" s="212">
        <v>0.01479352</v>
      </c>
      <c r="I23" s="188"/>
      <c r="J23" s="212">
        <v>0.01479352</v>
      </c>
      <c r="K23" s="188"/>
      <c r="L23" s="212">
        <v>0.01479352</v>
      </c>
    </row>
    <row r="24" spans="1:12" ht="15">
      <c r="A24" s="160">
        <v>43380</v>
      </c>
      <c r="B24" s="216">
        <v>0.0136245</v>
      </c>
      <c r="C24" s="74"/>
      <c r="D24" s="212">
        <v>0.0136245</v>
      </c>
      <c r="E24" s="188"/>
      <c r="F24" s="212">
        <v>0.0136245</v>
      </c>
      <c r="G24" s="188"/>
      <c r="H24" s="212">
        <v>0.0136245</v>
      </c>
      <c r="I24" s="188"/>
      <c r="J24" s="212">
        <v>0.0136245</v>
      </c>
      <c r="K24" s="188"/>
      <c r="L24" s="212">
        <v>0.0136245</v>
      </c>
    </row>
    <row r="25" spans="1:12" ht="15">
      <c r="A25" s="160">
        <v>43411</v>
      </c>
      <c r="B25" s="216">
        <v>0.01186054</v>
      </c>
      <c r="C25" s="74"/>
      <c r="D25" s="212">
        <v>0.01186054</v>
      </c>
      <c r="E25" s="188"/>
      <c r="F25" s="212">
        <v>0.01186054</v>
      </c>
      <c r="G25" s="188"/>
      <c r="H25" s="212">
        <v>0.01186054</v>
      </c>
      <c r="I25" s="188"/>
      <c r="J25" s="212">
        <v>0.01186054</v>
      </c>
      <c r="K25" s="188"/>
      <c r="L25" s="212">
        <v>0.01186054</v>
      </c>
    </row>
    <row r="26" spans="1:12" ht="15">
      <c r="A26" s="160">
        <v>43441</v>
      </c>
      <c r="B26" s="216">
        <v>0.01407158</v>
      </c>
      <c r="C26" s="74"/>
      <c r="D26" s="212">
        <v>0.01407158</v>
      </c>
      <c r="E26" s="188"/>
      <c r="F26" s="212">
        <v>0.01407158</v>
      </c>
      <c r="G26" s="188"/>
      <c r="H26" s="212">
        <v>0.01407158</v>
      </c>
      <c r="I26" s="188"/>
      <c r="J26" s="212">
        <v>0.01407158</v>
      </c>
      <c r="K26" s="188"/>
      <c r="L26" s="212">
        <v>0.01407158</v>
      </c>
    </row>
    <row r="27" spans="1:12" ht="15">
      <c r="A27" s="160">
        <v>43472</v>
      </c>
      <c r="B27" s="216">
        <v>0.01345364</v>
      </c>
      <c r="C27" s="74"/>
      <c r="D27" s="212">
        <v>0.01345364</v>
      </c>
      <c r="E27" s="188"/>
      <c r="F27" s="212">
        <v>0.01345364</v>
      </c>
      <c r="G27" s="188"/>
      <c r="H27" s="212">
        <v>0.01345364</v>
      </c>
      <c r="I27" s="188"/>
      <c r="J27" s="212">
        <v>0.01345364</v>
      </c>
      <c r="K27" s="188"/>
      <c r="L27" s="212">
        <v>0.01345364</v>
      </c>
    </row>
    <row r="28" spans="1:12" ht="15">
      <c r="A28" s="160">
        <v>43503</v>
      </c>
      <c r="B28" s="216">
        <v>0.0108372</v>
      </c>
      <c r="C28" s="74"/>
      <c r="D28" s="212">
        <v>0.0108372</v>
      </c>
      <c r="E28" s="188"/>
      <c r="F28" s="212">
        <v>0.0108372</v>
      </c>
      <c r="G28" s="188"/>
      <c r="H28" s="212">
        <v>0.0108372</v>
      </c>
      <c r="I28" s="188"/>
      <c r="J28" s="212">
        <v>0.0108372</v>
      </c>
      <c r="K28" s="188"/>
      <c r="L28" s="212">
        <v>0.0108372</v>
      </c>
    </row>
    <row r="29" spans="1:12" ht="15">
      <c r="A29" s="160">
        <v>43531</v>
      </c>
      <c r="B29" s="216">
        <v>0.01203244</v>
      </c>
      <c r="C29" s="74"/>
      <c r="D29" s="212">
        <v>0.01203244</v>
      </c>
      <c r="E29" s="188"/>
      <c r="F29" s="212">
        <v>0.01203244</v>
      </c>
      <c r="G29" s="188"/>
      <c r="H29" s="212">
        <v>0.01203244</v>
      </c>
      <c r="I29" s="188"/>
      <c r="J29" s="212">
        <v>0.01203244</v>
      </c>
      <c r="K29" s="188"/>
      <c r="L29" s="212">
        <v>0.01203244</v>
      </c>
    </row>
    <row r="30" spans="1:12" ht="15">
      <c r="A30" s="160">
        <v>43562</v>
      </c>
      <c r="B30" s="216">
        <v>0.01551368</v>
      </c>
      <c r="C30" s="74"/>
      <c r="D30" s="212">
        <v>0.01551368</v>
      </c>
      <c r="E30" s="188"/>
      <c r="F30" s="212">
        <v>0.01551368</v>
      </c>
      <c r="G30" s="188"/>
      <c r="H30" s="212">
        <v>0.01551368</v>
      </c>
      <c r="I30" s="188"/>
      <c r="J30" s="212">
        <v>0.01551368</v>
      </c>
      <c r="K30" s="188"/>
      <c r="L30" s="212">
        <v>0.01551368</v>
      </c>
    </row>
    <row r="31" spans="1:12" ht="15">
      <c r="A31" s="160">
        <v>43592</v>
      </c>
      <c r="B31" s="216">
        <v>0.01722625</v>
      </c>
      <c r="C31" s="74"/>
      <c r="D31" s="212">
        <v>0.01722625</v>
      </c>
      <c r="E31" s="188"/>
      <c r="F31" s="212">
        <v>0.01722625</v>
      </c>
      <c r="G31" s="188"/>
      <c r="H31" s="212">
        <v>0.01722625</v>
      </c>
      <c r="I31" s="188"/>
      <c r="J31" s="212">
        <v>0.01722625</v>
      </c>
      <c r="K31" s="188"/>
      <c r="L31" s="212">
        <v>0.01722625</v>
      </c>
    </row>
    <row r="32" spans="1:12" ht="15">
      <c r="A32" s="160">
        <v>43623</v>
      </c>
      <c r="B32" s="216">
        <v>0.01295079</v>
      </c>
      <c r="C32" s="74"/>
      <c r="D32" s="212">
        <v>0.01295079</v>
      </c>
      <c r="E32" s="188"/>
      <c r="F32" s="212">
        <v>0.01295079</v>
      </c>
      <c r="G32" s="188"/>
      <c r="H32" s="212">
        <v>0.01295079</v>
      </c>
      <c r="I32" s="188"/>
      <c r="J32" s="212">
        <v>0.01295079</v>
      </c>
      <c r="K32" s="188"/>
      <c r="L32" s="212">
        <v>0.01295079</v>
      </c>
    </row>
    <row r="33" spans="1:12" ht="15">
      <c r="A33" s="163">
        <v>43653</v>
      </c>
      <c r="B33" s="216">
        <v>0.01486068</v>
      </c>
      <c r="C33" s="74"/>
      <c r="D33" s="212">
        <v>0.01486068</v>
      </c>
      <c r="E33" s="188"/>
      <c r="F33" s="212">
        <v>0.01486068</v>
      </c>
      <c r="G33" s="188"/>
      <c r="H33" s="212">
        <v>0.01486068</v>
      </c>
      <c r="I33" s="188"/>
      <c r="J33" s="212">
        <v>0.01486068</v>
      </c>
      <c r="K33" s="188"/>
      <c r="L33" s="212">
        <v>0.01486068</v>
      </c>
    </row>
    <row r="34" spans="1:12" ht="15">
      <c r="A34" s="163">
        <v>43684</v>
      </c>
      <c r="B34" s="216">
        <v>0.01075147</v>
      </c>
      <c r="C34" s="74"/>
      <c r="D34" s="212">
        <v>0.01075147</v>
      </c>
      <c r="E34" s="213"/>
      <c r="F34" s="212">
        <v>0.01075147</v>
      </c>
      <c r="G34" s="213"/>
      <c r="H34" s="212">
        <v>0.01075147</v>
      </c>
      <c r="I34" s="213"/>
      <c r="J34" s="212">
        <v>0.01075147</v>
      </c>
      <c r="K34" s="213"/>
      <c r="L34" s="212">
        <v>0.01075147</v>
      </c>
    </row>
    <row r="35" spans="1:12" ht="15">
      <c r="A35" s="163">
        <v>43715</v>
      </c>
      <c r="B35" s="216">
        <v>0.01888139</v>
      </c>
      <c r="C35" s="74"/>
      <c r="D35" s="212">
        <v>0.01888139</v>
      </c>
      <c r="E35" s="213"/>
      <c r="F35" s="212">
        <v>0.01888139</v>
      </c>
      <c r="G35" s="213"/>
      <c r="H35" s="212">
        <v>0.01888139</v>
      </c>
      <c r="I35" s="213"/>
      <c r="J35" s="212">
        <v>0.01888139</v>
      </c>
      <c r="K35" s="213"/>
      <c r="L35" s="212">
        <v>0.01888139</v>
      </c>
    </row>
    <row r="36" spans="1:12" ht="15">
      <c r="A36" s="163">
        <v>43745</v>
      </c>
      <c r="B36" s="216">
        <v>0.01313316</v>
      </c>
      <c r="C36" s="74"/>
      <c r="D36" s="212">
        <v>0.01313316</v>
      </c>
      <c r="E36" s="213"/>
      <c r="F36" s="212">
        <v>0.01313316</v>
      </c>
      <c r="G36" s="213"/>
      <c r="H36" s="212">
        <v>0.01313316</v>
      </c>
      <c r="I36" s="213"/>
      <c r="J36" s="212">
        <v>0.01313316</v>
      </c>
      <c r="K36" s="213"/>
      <c r="L36" s="212">
        <v>0.01313316</v>
      </c>
    </row>
    <row r="37" spans="1:12" ht="15">
      <c r="A37" s="163">
        <v>43776</v>
      </c>
      <c r="B37" s="216">
        <v>0.01342858</v>
      </c>
      <c r="C37" s="74"/>
      <c r="D37" s="212">
        <v>0.01342858</v>
      </c>
      <c r="E37" s="213"/>
      <c r="F37" s="212">
        <v>0.01342858</v>
      </c>
      <c r="G37" s="213"/>
      <c r="H37" s="212">
        <v>0.01342858</v>
      </c>
      <c r="I37" s="213"/>
      <c r="J37" s="212">
        <v>0.01342858</v>
      </c>
      <c r="K37" s="213"/>
      <c r="L37" s="212">
        <v>0.01342858</v>
      </c>
    </row>
    <row r="38" spans="1:12" ht="15">
      <c r="A38" s="163">
        <v>43806</v>
      </c>
      <c r="B38" s="216">
        <v>0.0148215</v>
      </c>
      <c r="C38" s="74"/>
      <c r="D38" s="212">
        <v>0.0148215</v>
      </c>
      <c r="E38" s="213"/>
      <c r="F38" s="212">
        <v>0.0148215</v>
      </c>
      <c r="G38" s="213"/>
      <c r="H38" s="212">
        <v>0.0148215</v>
      </c>
      <c r="I38" s="213"/>
      <c r="J38" s="212">
        <v>0.0148215</v>
      </c>
      <c r="K38" s="213"/>
      <c r="L38" s="212">
        <v>0.0148215</v>
      </c>
    </row>
    <row r="39" spans="1:12" ht="15">
      <c r="A39" s="163">
        <v>43837</v>
      </c>
      <c r="B39" s="216">
        <v>0.01572056</v>
      </c>
      <c r="C39" s="74"/>
      <c r="D39" s="212">
        <v>0.01572056</v>
      </c>
      <c r="E39" s="213"/>
      <c r="F39" s="212">
        <v>0.01572056</v>
      </c>
      <c r="G39" s="213"/>
      <c r="H39" s="212">
        <v>0.01572056</v>
      </c>
      <c r="I39" s="213"/>
      <c r="J39" s="212">
        <v>0.01572056</v>
      </c>
      <c r="K39" s="213"/>
      <c r="L39" s="212">
        <v>0.01572056</v>
      </c>
    </row>
    <row r="40" spans="1:12" ht="15">
      <c r="A40" s="163">
        <v>43868</v>
      </c>
      <c r="B40" s="216">
        <v>0.01568835</v>
      </c>
      <c r="C40" s="74"/>
      <c r="D40" s="212">
        <v>0.01568835</v>
      </c>
      <c r="E40" s="213"/>
      <c r="F40" s="212">
        <v>0.01568835</v>
      </c>
      <c r="G40" s="213"/>
      <c r="H40" s="212">
        <v>0.01568835</v>
      </c>
      <c r="I40" s="213"/>
      <c r="J40" s="212">
        <v>0.01568835</v>
      </c>
      <c r="K40" s="213"/>
      <c r="L40" s="212">
        <v>0.01568835</v>
      </c>
    </row>
    <row r="41" spans="1:12" ht="15">
      <c r="A41" s="163">
        <v>43897</v>
      </c>
      <c r="B41" s="216">
        <v>0.01106182</v>
      </c>
      <c r="C41" s="74"/>
      <c r="D41" s="212">
        <v>0.01106182</v>
      </c>
      <c r="E41" s="213"/>
      <c r="F41" s="212">
        <v>0.01106182</v>
      </c>
      <c r="G41" s="213"/>
      <c r="H41" s="212">
        <v>0.01106182</v>
      </c>
      <c r="I41" s="213"/>
      <c r="J41" s="212">
        <v>0.01106182</v>
      </c>
      <c r="K41" s="213"/>
      <c r="L41" s="212">
        <v>0.01106182</v>
      </c>
    </row>
    <row r="42" spans="1:12" ht="15">
      <c r="A42" s="160">
        <v>43928</v>
      </c>
      <c r="B42" s="216">
        <v>0.00858464</v>
      </c>
      <c r="C42" s="74"/>
      <c r="D42" s="212">
        <v>0.00858464</v>
      </c>
      <c r="E42" s="188"/>
      <c r="F42" s="212">
        <v>0.00858464</v>
      </c>
      <c r="G42" s="188"/>
      <c r="H42" s="212">
        <v>0.00858464</v>
      </c>
      <c r="I42" s="188"/>
      <c r="J42" s="212">
        <v>0.00858464</v>
      </c>
      <c r="K42" s="188"/>
      <c r="L42" s="212">
        <v>0.00858464</v>
      </c>
    </row>
    <row r="43" spans="1:12" ht="15">
      <c r="A43" s="163">
        <v>43958</v>
      </c>
      <c r="B43" s="216">
        <v>0.00746789</v>
      </c>
      <c r="C43" s="74"/>
      <c r="D43" s="212">
        <v>0.00746789</v>
      </c>
      <c r="E43" s="189"/>
      <c r="F43" s="212">
        <v>0.00746789</v>
      </c>
      <c r="G43" s="189"/>
      <c r="H43" s="212">
        <v>0.00746789</v>
      </c>
      <c r="I43" s="189"/>
      <c r="J43" s="212">
        <v>0.00746789</v>
      </c>
      <c r="K43" s="189"/>
      <c r="L43" s="212">
        <v>0.00746789</v>
      </c>
    </row>
    <row r="44" spans="1:12" ht="15">
      <c r="A44" s="160">
        <v>43989</v>
      </c>
      <c r="B44" s="216">
        <v>0.00475281</v>
      </c>
      <c r="C44" s="74"/>
      <c r="D44" s="212">
        <v>0.00475281</v>
      </c>
      <c r="E44" s="188"/>
      <c r="F44" s="212">
        <v>0.00475281</v>
      </c>
      <c r="G44" s="188"/>
      <c r="H44" s="212">
        <v>0.00475281</v>
      </c>
      <c r="I44" s="188"/>
      <c r="J44" s="212">
        <v>0.00475281</v>
      </c>
      <c r="K44" s="188"/>
      <c r="L44" s="212">
        <v>0.00475281</v>
      </c>
    </row>
    <row r="45" spans="1:12" ht="15">
      <c r="A45" s="160">
        <v>44019</v>
      </c>
      <c r="B45" s="216">
        <v>0.00720935</v>
      </c>
      <c r="C45" s="74"/>
      <c r="D45" s="212">
        <v>0.00720935</v>
      </c>
      <c r="E45" s="188"/>
      <c r="F45" s="212">
        <v>0.00720935</v>
      </c>
      <c r="G45" s="188"/>
      <c r="H45" s="212">
        <v>0.00720935</v>
      </c>
      <c r="I45" s="188"/>
      <c r="J45" s="212">
        <v>0.00720935</v>
      </c>
      <c r="K45" s="188"/>
      <c r="L45" s="212">
        <v>0.00720935</v>
      </c>
    </row>
    <row r="46" spans="1:12" ht="15">
      <c r="A46" s="160">
        <v>44050</v>
      </c>
      <c r="B46" s="216">
        <v>0.00980244</v>
      </c>
      <c r="C46" s="175"/>
      <c r="D46" s="212">
        <v>0.00980244</v>
      </c>
      <c r="E46" s="189"/>
      <c r="F46" s="212">
        <v>0.00980244</v>
      </c>
      <c r="G46" s="189"/>
      <c r="H46" s="212">
        <v>0.00980244</v>
      </c>
      <c r="I46" s="189"/>
      <c r="J46" s="212">
        <v>0.00980244</v>
      </c>
      <c r="K46" s="189"/>
      <c r="L46" s="212">
        <v>0.00980244</v>
      </c>
    </row>
    <row r="47" spans="1:12" ht="15">
      <c r="A47" s="160">
        <v>44081</v>
      </c>
      <c r="B47" s="216">
        <v>0.01063472</v>
      </c>
      <c r="C47" s="175"/>
      <c r="D47" s="212">
        <v>0.01063472</v>
      </c>
      <c r="E47" s="188"/>
      <c r="F47" s="212">
        <v>0.01063472</v>
      </c>
      <c r="G47" s="188"/>
      <c r="H47" s="212">
        <v>0.01063472</v>
      </c>
      <c r="I47" s="188"/>
      <c r="J47" s="212">
        <v>0.01063472</v>
      </c>
      <c r="K47" s="188"/>
      <c r="L47" s="212">
        <v>0.01063472</v>
      </c>
    </row>
    <row r="48" spans="1:12" ht="15">
      <c r="A48" s="160">
        <v>44111</v>
      </c>
      <c r="B48" s="216">
        <v>0.01286901</v>
      </c>
      <c r="C48" s="175"/>
      <c r="D48" s="212">
        <v>0.01286901</v>
      </c>
      <c r="E48" s="189"/>
      <c r="F48" s="212">
        <v>0.01286901</v>
      </c>
      <c r="G48" s="189"/>
      <c r="H48" s="212">
        <v>0.01286901</v>
      </c>
      <c r="I48" s="189"/>
      <c r="J48" s="212">
        <v>0.01286901</v>
      </c>
      <c r="K48" s="189"/>
      <c r="L48" s="212">
        <v>0.01286901</v>
      </c>
    </row>
    <row r="49" spans="1:12" ht="15">
      <c r="A49" s="160">
        <v>44142</v>
      </c>
      <c r="B49" s="216">
        <v>0.01165867</v>
      </c>
      <c r="C49" s="175"/>
      <c r="D49" s="212">
        <v>0.01165867</v>
      </c>
      <c r="E49" s="188"/>
      <c r="F49" s="212">
        <v>0.01165867</v>
      </c>
      <c r="G49" s="188"/>
      <c r="H49" s="212">
        <v>0.01165867</v>
      </c>
      <c r="I49" s="188"/>
      <c r="J49" s="212">
        <v>0.01165867</v>
      </c>
      <c r="K49" s="188"/>
      <c r="L49" s="212">
        <v>0.01165867</v>
      </c>
    </row>
    <row r="50" spans="1:12" ht="15">
      <c r="A50" s="163">
        <v>44172</v>
      </c>
      <c r="B50" s="216">
        <v>0.01141385</v>
      </c>
      <c r="C50" s="74"/>
      <c r="D50" s="212">
        <v>0.01141385</v>
      </c>
      <c r="E50" s="188"/>
      <c r="F50" s="212">
        <v>0.01141385</v>
      </c>
      <c r="G50" s="188"/>
      <c r="H50" s="212">
        <v>0.01141385</v>
      </c>
      <c r="I50" s="188"/>
      <c r="J50" s="212">
        <v>0.01141385</v>
      </c>
      <c r="K50" s="188"/>
      <c r="L50" s="212">
        <v>0.01141385</v>
      </c>
    </row>
    <row r="51" spans="1:12" ht="15">
      <c r="A51" s="163">
        <v>44203</v>
      </c>
      <c r="B51" s="216">
        <v>0.01465664</v>
      </c>
      <c r="C51" s="74"/>
      <c r="D51" s="212">
        <v>0.01465664</v>
      </c>
      <c r="E51" s="188"/>
      <c r="F51" s="212">
        <v>0.01465664</v>
      </c>
      <c r="G51" s="188"/>
      <c r="H51" s="212">
        <v>0.01465664</v>
      </c>
      <c r="I51" s="188"/>
      <c r="J51" s="212">
        <v>0.01465664</v>
      </c>
      <c r="K51" s="188"/>
      <c r="L51" s="212">
        <v>0.01465664</v>
      </c>
    </row>
    <row r="52" spans="1:12" ht="15">
      <c r="A52" s="163">
        <v>44234</v>
      </c>
      <c r="B52" s="216">
        <v>0.01924566</v>
      </c>
      <c r="C52" s="74"/>
      <c r="D52" s="212">
        <v>0.01924566</v>
      </c>
      <c r="E52" s="188"/>
      <c r="F52" s="212">
        <v>0.01924566</v>
      </c>
      <c r="G52" s="188"/>
      <c r="H52" s="212">
        <v>0.01924566</v>
      </c>
      <c r="I52" s="188"/>
      <c r="J52" s="212">
        <v>0.01924566</v>
      </c>
      <c r="K52" s="188"/>
      <c r="L52" s="212">
        <v>0.01924566</v>
      </c>
    </row>
    <row r="53" spans="1:12" ht="15">
      <c r="A53" s="163">
        <v>44262</v>
      </c>
      <c r="B53" s="216">
        <v>0.01519714</v>
      </c>
      <c r="C53" s="74"/>
      <c r="D53" s="212">
        <v>0.01519714</v>
      </c>
      <c r="E53" s="188"/>
      <c r="F53" s="212">
        <v>0.01519714</v>
      </c>
      <c r="G53" s="188"/>
      <c r="H53" s="212">
        <v>0.01519714</v>
      </c>
      <c r="I53" s="188"/>
      <c r="J53" s="212">
        <v>0.01519714</v>
      </c>
      <c r="K53" s="188"/>
      <c r="L53" s="212">
        <v>0.01519714</v>
      </c>
    </row>
    <row r="54" spans="1:12" ht="15">
      <c r="A54" s="163">
        <v>44293</v>
      </c>
      <c r="B54" s="216">
        <v>0.01421483</v>
      </c>
      <c r="C54" s="74"/>
      <c r="D54" s="212">
        <v>0.01421483</v>
      </c>
      <c r="E54" s="188"/>
      <c r="F54" s="212">
        <v>0.01421483</v>
      </c>
      <c r="G54" s="188"/>
      <c r="H54" s="212">
        <v>0.01421483</v>
      </c>
      <c r="I54" s="188"/>
      <c r="J54" s="212">
        <v>0.01421483</v>
      </c>
      <c r="K54" s="188"/>
      <c r="L54" s="212">
        <v>0.01421483</v>
      </c>
    </row>
    <row r="55" spans="1:12" ht="15">
      <c r="A55" s="163">
        <v>44323</v>
      </c>
      <c r="B55" s="216">
        <v>0.0178434</v>
      </c>
      <c r="C55" s="74"/>
      <c r="D55" s="212">
        <v>0.0178434</v>
      </c>
      <c r="E55" s="188"/>
      <c r="F55" s="212">
        <v>0.0178434</v>
      </c>
      <c r="G55" s="188"/>
      <c r="H55" s="212">
        <v>0.0178434</v>
      </c>
      <c r="I55" s="188"/>
      <c r="J55" s="212">
        <v>0.0178434</v>
      </c>
      <c r="K55" s="188"/>
      <c r="L55" s="212">
        <v>0.0178434</v>
      </c>
    </row>
    <row r="56" spans="1:12" ht="15">
      <c r="A56" s="163">
        <v>44354</v>
      </c>
      <c r="B56" s="216">
        <v>0.01137641</v>
      </c>
      <c r="C56" s="74"/>
      <c r="D56" s="212">
        <v>0.01137641</v>
      </c>
      <c r="E56" s="188"/>
      <c r="F56" s="212">
        <v>0.01137641</v>
      </c>
      <c r="G56" s="188"/>
      <c r="H56" s="212">
        <v>0.01137641</v>
      </c>
      <c r="I56" s="188"/>
      <c r="J56" s="212">
        <v>0.01137641</v>
      </c>
      <c r="K56" s="188"/>
      <c r="L56" s="212">
        <v>0.01137641</v>
      </c>
    </row>
    <row r="57" spans="1:12" s="162" customFormat="1" ht="15">
      <c r="A57" s="163">
        <v>44384</v>
      </c>
      <c r="B57" s="216">
        <v>0.01666539</v>
      </c>
      <c r="C57" s="74"/>
      <c r="D57" s="212">
        <v>0.01666539</v>
      </c>
      <c r="E57" s="188"/>
      <c r="F57" s="212">
        <v>0.01666539</v>
      </c>
      <c r="G57" s="188"/>
      <c r="H57" s="212">
        <v>0.01666539</v>
      </c>
      <c r="I57" s="188"/>
      <c r="J57" s="212">
        <v>0.01666539</v>
      </c>
      <c r="K57" s="188"/>
      <c r="L57" s="212">
        <v>0.01666539</v>
      </c>
    </row>
    <row r="58" spans="1:12" ht="15">
      <c r="A58" s="163">
        <v>44415</v>
      </c>
      <c r="B58" s="216">
        <v>0.0148387</v>
      </c>
      <c r="C58" s="74"/>
      <c r="D58" s="212">
        <v>0.0148387</v>
      </c>
      <c r="E58" s="188"/>
      <c r="F58" s="212">
        <v>0.0148387</v>
      </c>
      <c r="G58" s="188"/>
      <c r="H58" s="212">
        <v>0.0148387</v>
      </c>
      <c r="I58" s="188"/>
      <c r="J58" s="212">
        <v>0.0148387</v>
      </c>
      <c r="K58" s="188"/>
      <c r="L58" s="212">
        <v>0.0148387</v>
      </c>
    </row>
    <row r="59" spans="1:12" s="162" customFormat="1" ht="15">
      <c r="A59" s="163">
        <v>44446</v>
      </c>
      <c r="B59" s="216">
        <v>0.01213439</v>
      </c>
      <c r="C59" s="74"/>
      <c r="D59" s="212">
        <v>0.01213439</v>
      </c>
      <c r="E59" s="188"/>
      <c r="F59" s="212">
        <v>0.01213439</v>
      </c>
      <c r="G59" s="188"/>
      <c r="H59" s="212">
        <v>0.01213439</v>
      </c>
      <c r="I59" s="188"/>
      <c r="J59" s="212">
        <v>0.01213439</v>
      </c>
      <c r="K59" s="188"/>
      <c r="L59" s="212">
        <v>0.01213439</v>
      </c>
    </row>
    <row r="60" spans="1:12" ht="15">
      <c r="A60" s="163">
        <v>44476</v>
      </c>
      <c r="B60" s="216">
        <v>0.01816922</v>
      </c>
      <c r="C60" s="74"/>
      <c r="D60" s="212">
        <v>0.01816922</v>
      </c>
      <c r="E60" s="188"/>
      <c r="F60" s="212">
        <v>0.01816922</v>
      </c>
      <c r="G60" s="188"/>
      <c r="H60" s="212">
        <v>0.01816922</v>
      </c>
      <c r="I60" s="188"/>
      <c r="J60" s="212">
        <v>0.01816922</v>
      </c>
      <c r="K60" s="188"/>
      <c r="L60" s="212">
        <v>0.01816922</v>
      </c>
    </row>
    <row r="61" spans="1:12" ht="15">
      <c r="A61" s="163">
        <v>44507</v>
      </c>
      <c r="B61" s="216">
        <v>0.01338278</v>
      </c>
      <c r="C61" s="74"/>
      <c r="D61" s="212">
        <v>0.01338278</v>
      </c>
      <c r="E61" s="188"/>
      <c r="F61" s="212">
        <v>0.01338278</v>
      </c>
      <c r="G61" s="188"/>
      <c r="H61" s="212">
        <v>0.01338278</v>
      </c>
      <c r="I61" s="188"/>
      <c r="J61" s="212">
        <v>0.01338278</v>
      </c>
      <c r="K61" s="188"/>
      <c r="L61" s="212">
        <v>0.01338278</v>
      </c>
    </row>
    <row r="62" spans="1:12" ht="15">
      <c r="A62" s="163">
        <v>44537</v>
      </c>
      <c r="B62" s="216">
        <v>0.01069855</v>
      </c>
      <c r="C62" s="74"/>
      <c r="D62" s="212">
        <v>0.01069855</v>
      </c>
      <c r="E62" s="188"/>
      <c r="F62" s="212">
        <v>0.01069855</v>
      </c>
      <c r="G62" s="188"/>
      <c r="H62" s="212">
        <v>0.01069855</v>
      </c>
      <c r="I62" s="188"/>
      <c r="J62" s="212">
        <v>0.01069855</v>
      </c>
      <c r="K62" s="188"/>
      <c r="L62" s="212">
        <v>0.01069855</v>
      </c>
    </row>
    <row r="63" spans="1:12" ht="15">
      <c r="A63" s="163">
        <v>44568</v>
      </c>
      <c r="B63" s="216">
        <v>0.01367835</v>
      </c>
      <c r="C63" s="74"/>
      <c r="D63" s="212">
        <v>0.01367835</v>
      </c>
      <c r="E63" s="188"/>
      <c r="F63" s="212">
        <v>0.01367835</v>
      </c>
      <c r="G63" s="188"/>
      <c r="H63" s="212">
        <v>0.01367835</v>
      </c>
      <c r="I63" s="188"/>
      <c r="J63" s="212">
        <v>0.01367835</v>
      </c>
      <c r="K63" s="188"/>
      <c r="L63" s="212">
        <v>0.01367835</v>
      </c>
    </row>
    <row r="64" spans="1:12" ht="15">
      <c r="A64" s="163">
        <v>44599</v>
      </c>
      <c r="B64" s="216">
        <v>0.01319075</v>
      </c>
      <c r="C64" s="74"/>
      <c r="D64" s="212">
        <v>0.01319075</v>
      </c>
      <c r="E64" s="188"/>
      <c r="F64" s="212">
        <v>0.01319075</v>
      </c>
      <c r="G64" s="188"/>
      <c r="H64" s="212">
        <v>0.01319075</v>
      </c>
      <c r="I64" s="188"/>
      <c r="J64" s="212">
        <v>0.01319075</v>
      </c>
      <c r="K64" s="188"/>
      <c r="L64" s="212">
        <v>0.01319075</v>
      </c>
    </row>
    <row r="65" spans="1:12" ht="15">
      <c r="A65" s="163">
        <v>44627</v>
      </c>
      <c r="B65" s="216">
        <v>0.01195708</v>
      </c>
      <c r="C65" s="74"/>
      <c r="D65" s="212">
        <v>0.01195708</v>
      </c>
      <c r="E65" s="188"/>
      <c r="F65" s="212">
        <v>0.01195708</v>
      </c>
      <c r="G65" s="188"/>
      <c r="H65" s="212">
        <v>0.01195708</v>
      </c>
      <c r="I65" s="188"/>
      <c r="J65" s="212">
        <v>0.01195708</v>
      </c>
      <c r="K65" s="188"/>
      <c r="L65" s="212">
        <v>0.01195708</v>
      </c>
    </row>
    <row r="66" spans="1:12" ht="15">
      <c r="A66" s="163">
        <v>44658</v>
      </c>
      <c r="B66" s="216">
        <v>0.01545762</v>
      </c>
      <c r="C66" s="74"/>
      <c r="D66" s="212">
        <v>0.01545762</v>
      </c>
      <c r="E66" s="188"/>
      <c r="F66" s="212">
        <v>0.01545762</v>
      </c>
      <c r="G66" s="188"/>
      <c r="H66" s="212">
        <v>0.01545762</v>
      </c>
      <c r="I66" s="188"/>
      <c r="J66" s="212">
        <v>0.01545762</v>
      </c>
      <c r="K66" s="188"/>
      <c r="L66" s="212">
        <v>0.01545762</v>
      </c>
    </row>
    <row r="67" spans="1:12" ht="15">
      <c r="A67" s="163">
        <v>44688</v>
      </c>
      <c r="B67" s="216">
        <v>0.01324005</v>
      </c>
      <c r="C67" s="74"/>
      <c r="D67" s="212">
        <v>0.01324005</v>
      </c>
      <c r="E67" s="188"/>
      <c r="F67" s="212">
        <v>0.01324005</v>
      </c>
      <c r="G67" s="188"/>
      <c r="H67" s="212">
        <v>0.01324005</v>
      </c>
      <c r="I67" s="188"/>
      <c r="J67" s="212">
        <v>0.01324005</v>
      </c>
      <c r="K67" s="188"/>
      <c r="L67" s="212">
        <v>0.01324005</v>
      </c>
    </row>
    <row r="68" spans="1:12" ht="15">
      <c r="A68" s="163">
        <v>44719</v>
      </c>
      <c r="B68" s="216">
        <v>0.01016614</v>
      </c>
      <c r="C68" s="74"/>
      <c r="D68" s="212">
        <v>0.01016614</v>
      </c>
      <c r="E68" s="188"/>
      <c r="F68" s="212">
        <v>0.01016614</v>
      </c>
      <c r="G68" s="188"/>
      <c r="H68" s="212">
        <v>0.01016614</v>
      </c>
      <c r="I68" s="188"/>
      <c r="J68" s="212">
        <v>0.01016614</v>
      </c>
      <c r="K68" s="188"/>
      <c r="L68" s="212">
        <v>0.01016614</v>
      </c>
    </row>
    <row r="69" spans="1:12" ht="15">
      <c r="A69" s="163">
        <v>44749</v>
      </c>
      <c r="B69" s="216">
        <v>0.01165555</v>
      </c>
      <c r="C69" s="74"/>
      <c r="D69" s="212">
        <v>0.01165555</v>
      </c>
      <c r="E69" s="188"/>
      <c r="F69" s="212">
        <v>0.01165555</v>
      </c>
      <c r="G69" s="188"/>
      <c r="H69" s="212">
        <v>0.01165555</v>
      </c>
      <c r="I69" s="188"/>
      <c r="J69" s="212">
        <v>0.01165555</v>
      </c>
      <c r="K69" s="188"/>
      <c r="L69" s="212">
        <v>0.01165555</v>
      </c>
    </row>
    <row r="70" spans="1:12" ht="15">
      <c r="A70" s="163">
        <v>44780</v>
      </c>
      <c r="B70" s="216">
        <v>0.01049908</v>
      </c>
      <c r="C70" s="74"/>
      <c r="D70" s="212">
        <v>0.01049908</v>
      </c>
      <c r="E70" s="188"/>
      <c r="F70" s="212">
        <v>0.01049908</v>
      </c>
      <c r="G70" s="188"/>
      <c r="H70" s="212">
        <v>0.01049908</v>
      </c>
      <c r="I70" s="188"/>
      <c r="J70" s="212">
        <v>0.01049908</v>
      </c>
      <c r="K70" s="188"/>
      <c r="L70" s="212">
        <v>0.01049908</v>
      </c>
    </row>
    <row r="71" spans="1:12" ht="15">
      <c r="A71" s="163">
        <v>44811</v>
      </c>
      <c r="B71" s="216">
        <v>0.00766851</v>
      </c>
      <c r="C71" s="74"/>
      <c r="D71" s="212">
        <v>0.00766851</v>
      </c>
      <c r="E71" s="188"/>
      <c r="F71" s="212">
        <v>0.00766851</v>
      </c>
      <c r="G71" s="188"/>
      <c r="H71" s="212">
        <v>0.00766851</v>
      </c>
      <c r="I71" s="188"/>
      <c r="J71" s="212">
        <v>0.00766851</v>
      </c>
      <c r="K71" s="188"/>
      <c r="L71" s="212">
        <v>0.00766851</v>
      </c>
    </row>
    <row r="72" spans="1:12" ht="15">
      <c r="A72" s="163">
        <v>44841</v>
      </c>
      <c r="B72" s="216">
        <v>0.01279089</v>
      </c>
      <c r="C72" s="74"/>
      <c r="D72" s="212">
        <v>0.01279089</v>
      </c>
      <c r="E72" s="188"/>
      <c r="F72" s="212">
        <v>0.01279089</v>
      </c>
      <c r="G72" s="188"/>
      <c r="H72" s="212">
        <v>0.01279089</v>
      </c>
      <c r="I72" s="188"/>
      <c r="J72" s="212">
        <v>0.01279089</v>
      </c>
      <c r="K72" s="188"/>
      <c r="L72" s="212">
        <v>0.01279089</v>
      </c>
    </row>
    <row r="73" spans="1:12" ht="15">
      <c r="A73" s="163">
        <v>44872</v>
      </c>
      <c r="B73" s="216">
        <v>0.00872364</v>
      </c>
      <c r="C73" s="74"/>
      <c r="D73" s="212">
        <v>0.00872364</v>
      </c>
      <c r="E73" s="189"/>
      <c r="F73" s="212">
        <v>0.00872364</v>
      </c>
      <c r="G73" s="189"/>
      <c r="H73" s="212">
        <v>0.00872364</v>
      </c>
      <c r="I73" s="189"/>
      <c r="J73" s="212">
        <v>0.00872364</v>
      </c>
      <c r="K73" s="189"/>
      <c r="L73" s="212">
        <v>0.00872364</v>
      </c>
    </row>
    <row r="74" spans="1:12" ht="15">
      <c r="A74" s="163">
        <v>44902</v>
      </c>
      <c r="B74" s="216">
        <v>0.00938377</v>
      </c>
      <c r="C74" s="74"/>
      <c r="D74" s="212">
        <v>0.00938377</v>
      </c>
      <c r="E74" s="189"/>
      <c r="F74" s="212">
        <v>0.00938377</v>
      </c>
      <c r="G74" s="189"/>
      <c r="H74" s="212">
        <v>0.00938377</v>
      </c>
      <c r="I74" s="189"/>
      <c r="J74" s="212">
        <v>0.00938377</v>
      </c>
      <c r="K74" s="189"/>
      <c r="L74" s="212">
        <v>0.00938377</v>
      </c>
    </row>
    <row r="75" spans="1:12" ht="15">
      <c r="A75" s="163">
        <v>44933</v>
      </c>
      <c r="B75" s="216">
        <v>0.01163786</v>
      </c>
      <c r="C75" s="74"/>
      <c r="D75" s="212">
        <v>0.01163786</v>
      </c>
      <c r="E75" s="188"/>
      <c r="F75" s="212">
        <v>0.01163786</v>
      </c>
      <c r="G75" s="188"/>
      <c r="H75" s="212">
        <v>0.01163786</v>
      </c>
      <c r="I75" s="188"/>
      <c r="J75" s="212">
        <v>0.01163786</v>
      </c>
      <c r="K75" s="188"/>
      <c r="L75" s="212">
        <v>0.01163786</v>
      </c>
    </row>
    <row r="76" spans="1:12" ht="15">
      <c r="A76" s="163">
        <v>44964</v>
      </c>
      <c r="B76" s="216">
        <v>0.00730675</v>
      </c>
      <c r="C76" s="74"/>
      <c r="D76" s="212">
        <v>0.00730675</v>
      </c>
      <c r="E76" s="188"/>
      <c r="F76" s="212">
        <v>0.00730675</v>
      </c>
      <c r="G76" s="188"/>
      <c r="H76" s="212">
        <v>0.00730675</v>
      </c>
      <c r="I76" s="188"/>
      <c r="J76" s="212">
        <v>0.00730675</v>
      </c>
      <c r="K76" s="188"/>
      <c r="L76" s="212">
        <v>0.00730675</v>
      </c>
    </row>
    <row r="77" spans="1:12" ht="15">
      <c r="A77" s="163">
        <v>44992</v>
      </c>
      <c r="B77" s="216">
        <v>0.00977638</v>
      </c>
      <c r="C77" s="74"/>
      <c r="D77" s="212">
        <v>0.00977638</v>
      </c>
      <c r="E77" s="188"/>
      <c r="F77" s="212">
        <v>0.00977638</v>
      </c>
      <c r="G77" s="188"/>
      <c r="H77" s="212">
        <v>0.00977638</v>
      </c>
      <c r="I77" s="188"/>
      <c r="J77" s="212">
        <v>0.00977638</v>
      </c>
      <c r="K77" s="188"/>
      <c r="L77" s="212">
        <v>0.00977638</v>
      </c>
    </row>
    <row r="78" spans="1:12" ht="15">
      <c r="A78" s="163">
        <v>45023</v>
      </c>
      <c r="B78" s="216">
        <v>0.00769482</v>
      </c>
      <c r="C78" s="74"/>
      <c r="D78" s="212">
        <v>0.00769482</v>
      </c>
      <c r="E78" s="188"/>
      <c r="F78" s="212">
        <v>0.00769482</v>
      </c>
      <c r="G78" s="189"/>
      <c r="H78" s="212">
        <v>0.00769482</v>
      </c>
      <c r="I78" s="188"/>
      <c r="J78" s="212">
        <v>0.00769482</v>
      </c>
      <c r="K78" s="199"/>
      <c r="L78" s="212">
        <v>0.00769482</v>
      </c>
    </row>
    <row r="79" spans="1:12" ht="15">
      <c r="A79" s="163">
        <v>45053</v>
      </c>
      <c r="B79" s="216">
        <v>0.00876814</v>
      </c>
      <c r="C79" s="74"/>
      <c r="D79" s="212">
        <v>0.00876814</v>
      </c>
      <c r="E79" s="188"/>
      <c r="F79" s="212">
        <v>0.00876814</v>
      </c>
      <c r="G79" s="188"/>
      <c r="H79" s="212">
        <v>0.00876814</v>
      </c>
      <c r="I79" s="188"/>
      <c r="J79" s="212">
        <v>0.00876814</v>
      </c>
      <c r="K79" s="188"/>
      <c r="L79" s="212">
        <v>0.00876814</v>
      </c>
    </row>
    <row r="80" spans="1:12" ht="15">
      <c r="A80" s="163">
        <v>45084</v>
      </c>
      <c r="B80" s="216">
        <v>0.00861102</v>
      </c>
      <c r="C80" s="74"/>
      <c r="D80" s="212">
        <v>0.00861102</v>
      </c>
      <c r="E80" s="188"/>
      <c r="F80" s="212">
        <v>0.00861102</v>
      </c>
      <c r="G80" s="188"/>
      <c r="H80" s="212">
        <v>0.00861102</v>
      </c>
      <c r="I80" s="188"/>
      <c r="J80" s="212">
        <v>0.00861102</v>
      </c>
      <c r="K80" s="188"/>
      <c r="L80" s="212">
        <v>0.00861102</v>
      </c>
    </row>
    <row r="81" spans="1:12" ht="15">
      <c r="A81" s="163">
        <v>45114</v>
      </c>
      <c r="B81" s="218">
        <v>0.00967742</v>
      </c>
      <c r="C81" s="74"/>
      <c r="D81" s="219">
        <v>0.00967742</v>
      </c>
      <c r="E81" s="198"/>
      <c r="F81" s="219">
        <v>0.00967742</v>
      </c>
      <c r="G81" s="198"/>
      <c r="H81" s="219">
        <v>0.00967742</v>
      </c>
      <c r="I81" s="198"/>
      <c r="J81" s="219">
        <v>0.00967742</v>
      </c>
      <c r="K81" s="198"/>
      <c r="L81" s="219">
        <v>0.00967742</v>
      </c>
    </row>
    <row r="82" spans="1:12" s="162" customFormat="1" ht="15">
      <c r="A82" s="195">
        <v>45145</v>
      </c>
      <c r="B82" s="220">
        <v>0.00447161</v>
      </c>
      <c r="C82" s="196"/>
      <c r="D82" s="221">
        <v>0.00447161</v>
      </c>
      <c r="E82" s="197"/>
      <c r="F82" s="221">
        <v>0.00447161</v>
      </c>
      <c r="G82" s="197"/>
      <c r="H82" s="221">
        <v>0.00447161</v>
      </c>
      <c r="I82" s="197"/>
      <c r="J82" s="221">
        <v>0.00447161</v>
      </c>
      <c r="K82" s="197"/>
      <c r="L82" s="221">
        <v>0.00447161</v>
      </c>
    </row>
    <row r="83" spans="1:12" ht="15">
      <c r="A83" s="160">
        <v>45176</v>
      </c>
      <c r="B83" s="216">
        <v>0</v>
      </c>
      <c r="C83" s="74"/>
      <c r="D83" s="214">
        <v>0</v>
      </c>
      <c r="E83" s="190"/>
      <c r="F83" s="214">
        <v>0</v>
      </c>
      <c r="G83" s="190"/>
      <c r="H83" s="214">
        <v>0</v>
      </c>
      <c r="I83" s="190"/>
      <c r="J83" s="214">
        <v>0</v>
      </c>
      <c r="K83" s="190"/>
      <c r="L83" s="214">
        <v>0</v>
      </c>
    </row>
    <row r="84" spans="1:12" ht="15">
      <c r="A84" s="160">
        <v>45206</v>
      </c>
      <c r="B84" s="216">
        <v>0</v>
      </c>
      <c r="C84" s="74"/>
      <c r="D84" s="214">
        <v>0</v>
      </c>
      <c r="E84" s="190"/>
      <c r="F84" s="214">
        <v>0</v>
      </c>
      <c r="G84" s="190"/>
      <c r="H84" s="214">
        <v>0</v>
      </c>
      <c r="I84" s="190"/>
      <c r="J84" s="214">
        <v>0</v>
      </c>
      <c r="K84" s="190"/>
      <c r="L84" s="214">
        <v>0</v>
      </c>
    </row>
    <row r="85" spans="1:12" ht="15">
      <c r="A85" s="160">
        <v>45237</v>
      </c>
      <c r="B85" s="216">
        <v>0</v>
      </c>
      <c r="C85" s="74"/>
      <c r="D85" s="214">
        <v>0</v>
      </c>
      <c r="E85" s="190"/>
      <c r="F85" s="214">
        <v>0</v>
      </c>
      <c r="G85" s="190"/>
      <c r="H85" s="214">
        <v>0</v>
      </c>
      <c r="I85" s="190"/>
      <c r="J85" s="214">
        <v>0</v>
      </c>
      <c r="K85" s="190"/>
      <c r="L85" s="214">
        <v>0</v>
      </c>
    </row>
    <row r="86" spans="1:12" ht="15">
      <c r="A86" s="160">
        <v>45267</v>
      </c>
      <c r="B86" s="216">
        <v>0</v>
      </c>
      <c r="C86" s="74"/>
      <c r="D86" s="214">
        <v>0</v>
      </c>
      <c r="E86" s="190"/>
      <c r="F86" s="214">
        <v>0</v>
      </c>
      <c r="G86" s="190"/>
      <c r="H86" s="214">
        <v>0</v>
      </c>
      <c r="I86" s="190"/>
      <c r="J86" s="214">
        <v>0</v>
      </c>
      <c r="K86" s="190"/>
      <c r="L86" s="214">
        <v>0</v>
      </c>
    </row>
    <row r="87" spans="1:12" ht="15">
      <c r="A87" s="160">
        <v>45298</v>
      </c>
      <c r="B87" s="216">
        <v>0</v>
      </c>
      <c r="C87" s="74"/>
      <c r="D87" s="214">
        <v>0</v>
      </c>
      <c r="E87" s="190"/>
      <c r="F87" s="214">
        <v>0</v>
      </c>
      <c r="G87" s="190"/>
      <c r="H87" s="214">
        <v>0</v>
      </c>
      <c r="I87" s="190"/>
      <c r="J87" s="214">
        <v>0</v>
      </c>
      <c r="K87" s="190"/>
      <c r="L87" s="214">
        <v>0</v>
      </c>
    </row>
    <row r="88" spans="1:12" ht="15">
      <c r="A88" s="160">
        <v>45329</v>
      </c>
      <c r="B88" s="216">
        <v>0</v>
      </c>
      <c r="C88" s="74"/>
      <c r="D88" s="214">
        <v>0</v>
      </c>
      <c r="E88" s="190"/>
      <c r="F88" s="214">
        <v>0</v>
      </c>
      <c r="G88" s="190"/>
      <c r="H88" s="214">
        <v>0</v>
      </c>
      <c r="I88" s="190"/>
      <c r="J88" s="214">
        <v>0</v>
      </c>
      <c r="K88" s="190"/>
      <c r="L88" s="214">
        <v>0</v>
      </c>
    </row>
    <row r="89" spans="1:12" ht="15">
      <c r="A89" s="160">
        <v>45358</v>
      </c>
      <c r="B89" s="216">
        <v>0</v>
      </c>
      <c r="C89" s="74"/>
      <c r="D89" s="214">
        <v>0</v>
      </c>
      <c r="E89" s="190"/>
      <c r="F89" s="214">
        <v>0</v>
      </c>
      <c r="G89" s="190"/>
      <c r="H89" s="214">
        <v>0</v>
      </c>
      <c r="I89" s="190"/>
      <c r="J89" s="214">
        <v>0</v>
      </c>
      <c r="K89" s="191"/>
      <c r="L89" s="214">
        <v>0</v>
      </c>
    </row>
    <row r="90" spans="1:12" ht="15">
      <c r="A90" s="160">
        <v>45389</v>
      </c>
      <c r="B90" s="216">
        <v>0</v>
      </c>
      <c r="C90" s="74"/>
      <c r="D90" s="214">
        <v>0</v>
      </c>
      <c r="E90" s="191"/>
      <c r="F90" s="214">
        <v>0</v>
      </c>
      <c r="G90" s="191"/>
      <c r="H90" s="214">
        <v>0</v>
      </c>
      <c r="I90" s="191"/>
      <c r="J90" s="214">
        <v>0</v>
      </c>
      <c r="K90" s="191"/>
      <c r="L90" s="214">
        <v>0</v>
      </c>
    </row>
    <row r="91" spans="1:12" ht="15">
      <c r="A91" s="160">
        <v>45419</v>
      </c>
      <c r="B91" s="216">
        <v>0</v>
      </c>
      <c r="C91" s="74"/>
      <c r="D91" s="214">
        <v>0</v>
      </c>
      <c r="E91" s="191"/>
      <c r="F91" s="214">
        <v>0</v>
      </c>
      <c r="G91" s="191"/>
      <c r="H91" s="214">
        <v>0</v>
      </c>
      <c r="I91" s="191"/>
      <c r="J91" s="214">
        <v>0</v>
      </c>
      <c r="K91" s="191"/>
      <c r="L91" s="214">
        <v>0</v>
      </c>
    </row>
    <row r="92" spans="1:12" ht="15">
      <c r="A92" s="160">
        <v>45450</v>
      </c>
      <c r="B92" s="216">
        <v>0</v>
      </c>
      <c r="C92" s="74"/>
      <c r="D92" s="214">
        <v>0</v>
      </c>
      <c r="E92" s="190"/>
      <c r="F92" s="214">
        <v>0</v>
      </c>
      <c r="G92" s="190"/>
      <c r="H92" s="214">
        <v>0</v>
      </c>
      <c r="I92" s="190"/>
      <c r="J92" s="214">
        <v>0</v>
      </c>
      <c r="K92" s="190"/>
      <c r="L92" s="214">
        <v>0</v>
      </c>
    </row>
    <row r="93" spans="1:12" ht="15">
      <c r="A93" s="160">
        <v>45480</v>
      </c>
      <c r="B93" s="216">
        <v>0</v>
      </c>
      <c r="C93" s="74"/>
      <c r="D93" s="214">
        <v>0</v>
      </c>
      <c r="E93" s="190"/>
      <c r="F93" s="214">
        <v>0</v>
      </c>
      <c r="G93" s="190"/>
      <c r="H93" s="214">
        <v>0</v>
      </c>
      <c r="I93" s="190"/>
      <c r="J93" s="214">
        <v>0</v>
      </c>
      <c r="K93" s="190"/>
      <c r="L93" s="214">
        <v>0</v>
      </c>
    </row>
    <row r="94" spans="1:12" ht="15">
      <c r="A94" s="160">
        <v>45511</v>
      </c>
      <c r="B94" s="216">
        <v>0</v>
      </c>
      <c r="C94" s="74"/>
      <c r="D94" s="214">
        <v>0</v>
      </c>
      <c r="E94" s="190"/>
      <c r="F94" s="214">
        <v>0</v>
      </c>
      <c r="G94" s="190"/>
      <c r="H94" s="214">
        <v>0</v>
      </c>
      <c r="I94" s="190"/>
      <c r="J94" s="214">
        <v>0</v>
      </c>
      <c r="K94" s="190"/>
      <c r="L94" s="214">
        <v>0</v>
      </c>
    </row>
    <row r="95" spans="1:12" ht="15">
      <c r="A95" s="160">
        <v>45542</v>
      </c>
      <c r="B95" s="216">
        <v>0</v>
      </c>
      <c r="C95" s="74"/>
      <c r="D95" s="214">
        <v>0</v>
      </c>
      <c r="E95" s="190"/>
      <c r="F95" s="214">
        <v>0</v>
      </c>
      <c r="G95" s="190"/>
      <c r="H95" s="214">
        <v>0</v>
      </c>
      <c r="I95" s="190"/>
      <c r="J95" s="214">
        <v>0</v>
      </c>
      <c r="K95" s="190"/>
      <c r="L95" s="214">
        <v>0</v>
      </c>
    </row>
    <row r="96" spans="1:12" ht="15">
      <c r="A96" s="160">
        <v>45572</v>
      </c>
      <c r="B96" s="216">
        <v>0</v>
      </c>
      <c r="C96" s="74"/>
      <c r="D96" s="214">
        <v>0</v>
      </c>
      <c r="E96" s="190"/>
      <c r="F96" s="214">
        <v>0</v>
      </c>
      <c r="G96" s="190"/>
      <c r="H96" s="214">
        <v>0</v>
      </c>
      <c r="I96" s="190"/>
      <c r="J96" s="214">
        <v>0</v>
      </c>
      <c r="K96" s="190"/>
      <c r="L96" s="214">
        <v>0</v>
      </c>
    </row>
    <row r="97" spans="1:12" ht="15">
      <c r="A97" s="160">
        <v>45603</v>
      </c>
      <c r="B97" s="216">
        <v>0</v>
      </c>
      <c r="C97" s="74"/>
      <c r="D97" s="214">
        <v>0</v>
      </c>
      <c r="E97" s="191"/>
      <c r="F97" s="214">
        <v>0</v>
      </c>
      <c r="G97" s="191"/>
      <c r="H97" s="214">
        <v>0</v>
      </c>
      <c r="I97" s="191"/>
      <c r="J97" s="214">
        <v>0</v>
      </c>
      <c r="K97" s="191"/>
      <c r="L97" s="214">
        <v>0</v>
      </c>
    </row>
    <row r="98" spans="1:12" ht="15">
      <c r="A98" s="160">
        <v>45633</v>
      </c>
      <c r="B98" s="216">
        <v>0</v>
      </c>
      <c r="C98" s="74"/>
      <c r="D98" s="214">
        <v>0</v>
      </c>
      <c r="E98" s="191"/>
      <c r="F98" s="214">
        <v>0</v>
      </c>
      <c r="G98" s="190"/>
      <c r="H98" s="214">
        <v>0</v>
      </c>
      <c r="I98" s="190"/>
      <c r="J98" s="214">
        <v>0</v>
      </c>
      <c r="K98" s="190"/>
      <c r="L98" s="214">
        <v>0</v>
      </c>
    </row>
    <row r="99" spans="1:12" ht="15">
      <c r="A99" s="160">
        <v>45664</v>
      </c>
      <c r="B99" s="216">
        <v>0</v>
      </c>
      <c r="C99" s="74"/>
      <c r="D99" s="214">
        <v>0</v>
      </c>
      <c r="E99" s="190"/>
      <c r="F99" s="214">
        <v>0</v>
      </c>
      <c r="G99" s="190"/>
      <c r="H99" s="214">
        <v>0</v>
      </c>
      <c r="I99" s="190"/>
      <c r="J99" s="214">
        <v>0</v>
      </c>
      <c r="K99" s="190"/>
      <c r="L99" s="214">
        <v>0</v>
      </c>
    </row>
    <row r="100" spans="1:12" ht="15">
      <c r="A100" s="160">
        <v>45695</v>
      </c>
      <c r="B100" s="216">
        <v>0</v>
      </c>
      <c r="C100" s="74"/>
      <c r="D100" s="214">
        <v>0</v>
      </c>
      <c r="E100" s="190"/>
      <c r="F100" s="214">
        <v>0</v>
      </c>
      <c r="G100" s="190"/>
      <c r="H100" s="214">
        <v>0</v>
      </c>
      <c r="I100" s="191"/>
      <c r="J100" s="214">
        <v>0</v>
      </c>
      <c r="K100" s="192"/>
      <c r="L100" s="214">
        <v>0</v>
      </c>
    </row>
    <row r="101" spans="1:12" ht="15">
      <c r="A101" s="160">
        <v>45723</v>
      </c>
      <c r="B101" s="216">
        <v>0</v>
      </c>
      <c r="C101" s="74"/>
      <c r="D101" s="214">
        <v>0</v>
      </c>
      <c r="E101" s="190"/>
      <c r="F101" s="214">
        <v>0</v>
      </c>
      <c r="G101" s="190"/>
      <c r="H101" s="214">
        <v>0</v>
      </c>
      <c r="I101" s="190"/>
      <c r="J101" s="214">
        <v>0</v>
      </c>
      <c r="K101" s="192"/>
      <c r="L101" s="214">
        <v>0</v>
      </c>
    </row>
    <row r="102" spans="1:12" ht="15">
      <c r="A102" s="160">
        <v>45754</v>
      </c>
      <c r="B102" s="216">
        <v>0</v>
      </c>
      <c r="C102" s="74"/>
      <c r="D102" s="214">
        <v>0</v>
      </c>
      <c r="E102" s="190"/>
      <c r="F102" s="214">
        <v>0</v>
      </c>
      <c r="G102" s="190"/>
      <c r="H102" s="214">
        <v>0</v>
      </c>
      <c r="I102" s="190"/>
      <c r="J102" s="214">
        <v>0</v>
      </c>
      <c r="K102" s="190"/>
      <c r="L102" s="214">
        <v>0</v>
      </c>
    </row>
    <row r="103" spans="1:12" ht="15">
      <c r="A103" s="160">
        <v>45784</v>
      </c>
      <c r="B103" s="216">
        <v>0</v>
      </c>
      <c r="C103" s="74"/>
      <c r="D103" s="214">
        <v>0</v>
      </c>
      <c r="E103" s="190"/>
      <c r="F103" s="214">
        <v>0</v>
      </c>
      <c r="G103" s="190"/>
      <c r="H103" s="214">
        <v>0</v>
      </c>
      <c r="I103" s="190"/>
      <c r="J103" s="214">
        <v>0</v>
      </c>
      <c r="K103" s="190"/>
      <c r="L103" s="214">
        <v>0</v>
      </c>
    </row>
    <row r="104" spans="1:12" ht="15">
      <c r="A104" s="160">
        <v>45815</v>
      </c>
      <c r="B104" s="216">
        <v>0</v>
      </c>
      <c r="C104" s="74"/>
      <c r="D104" s="214">
        <v>0</v>
      </c>
      <c r="E104" s="190"/>
      <c r="F104" s="214">
        <v>0</v>
      </c>
      <c r="G104" s="190"/>
      <c r="H104" s="214">
        <v>0</v>
      </c>
      <c r="I104" s="190"/>
      <c r="J104" s="214">
        <v>0</v>
      </c>
      <c r="K104" s="190"/>
      <c r="L104" s="214">
        <v>0</v>
      </c>
    </row>
    <row r="105" spans="1:12" ht="15">
      <c r="A105" s="160">
        <v>45845</v>
      </c>
      <c r="B105" s="216">
        <v>0</v>
      </c>
      <c r="C105" s="74"/>
      <c r="D105" s="214">
        <v>0</v>
      </c>
      <c r="E105" s="191"/>
      <c r="F105" s="214">
        <v>0</v>
      </c>
      <c r="G105" s="191"/>
      <c r="H105" s="214">
        <v>0</v>
      </c>
      <c r="I105" s="191"/>
      <c r="J105" s="214">
        <v>0</v>
      </c>
      <c r="K105" s="191"/>
      <c r="L105" s="214">
        <v>0</v>
      </c>
    </row>
    <row r="106" spans="1:12" ht="15">
      <c r="A106" s="160">
        <v>45876</v>
      </c>
      <c r="B106" s="216">
        <v>0</v>
      </c>
      <c r="C106" s="74"/>
      <c r="D106" s="214">
        <v>0</v>
      </c>
      <c r="E106" s="190"/>
      <c r="F106" s="214">
        <v>0</v>
      </c>
      <c r="G106" s="190"/>
      <c r="H106" s="214">
        <v>0</v>
      </c>
      <c r="I106" s="190"/>
      <c r="J106" s="214">
        <v>0</v>
      </c>
      <c r="K106" s="190"/>
      <c r="L106" s="214">
        <v>0</v>
      </c>
    </row>
    <row r="107" spans="1:12" ht="15">
      <c r="A107" s="160">
        <v>45907</v>
      </c>
      <c r="B107" s="216">
        <v>0</v>
      </c>
      <c r="C107" s="74"/>
      <c r="D107" s="214">
        <v>0</v>
      </c>
      <c r="E107" s="190"/>
      <c r="F107" s="214">
        <v>0</v>
      </c>
      <c r="G107" s="191"/>
      <c r="H107" s="214">
        <v>0</v>
      </c>
      <c r="I107" s="191"/>
      <c r="J107" s="214">
        <v>0</v>
      </c>
      <c r="K107" s="190"/>
      <c r="L107" s="214">
        <v>0</v>
      </c>
    </row>
    <row r="108" spans="1:12" ht="15">
      <c r="A108" s="160">
        <v>45937</v>
      </c>
      <c r="B108" s="216">
        <v>0</v>
      </c>
      <c r="C108" s="74"/>
      <c r="D108" s="214">
        <v>0</v>
      </c>
      <c r="E108" s="190"/>
      <c r="F108" s="214">
        <v>0</v>
      </c>
      <c r="G108" s="190"/>
      <c r="H108" s="214">
        <v>0</v>
      </c>
      <c r="I108" s="193"/>
      <c r="J108" s="214">
        <v>0</v>
      </c>
      <c r="K108" s="190"/>
      <c r="L108" s="214">
        <v>0</v>
      </c>
    </row>
    <row r="109" spans="1:12" ht="15">
      <c r="A109" s="160">
        <v>45968</v>
      </c>
      <c r="B109" s="216">
        <v>0</v>
      </c>
      <c r="C109" s="74"/>
      <c r="D109" s="214">
        <v>0</v>
      </c>
      <c r="E109" s="190"/>
      <c r="F109" s="214">
        <v>0</v>
      </c>
      <c r="G109" s="190"/>
      <c r="H109" s="214">
        <v>0</v>
      </c>
      <c r="I109" s="193"/>
      <c r="J109" s="214">
        <v>0</v>
      </c>
      <c r="K109" s="190"/>
      <c r="L109" s="214">
        <v>0</v>
      </c>
    </row>
    <row r="110" spans="1:12" ht="15">
      <c r="A110" s="160">
        <v>45998</v>
      </c>
      <c r="B110" s="216">
        <v>0</v>
      </c>
      <c r="C110" s="74"/>
      <c r="D110" s="214">
        <v>0</v>
      </c>
      <c r="E110" s="190"/>
      <c r="F110" s="214">
        <v>0</v>
      </c>
      <c r="G110" s="190"/>
      <c r="H110" s="214">
        <v>0</v>
      </c>
      <c r="I110" s="190"/>
      <c r="J110" s="214">
        <v>0</v>
      </c>
      <c r="K110" s="190"/>
      <c r="L110" s="214">
        <v>0</v>
      </c>
    </row>
    <row r="111" spans="1:12" ht="15">
      <c r="A111" s="160">
        <v>46029</v>
      </c>
      <c r="B111" s="216">
        <v>0</v>
      </c>
      <c r="C111" s="74"/>
      <c r="D111" s="214">
        <v>0</v>
      </c>
      <c r="E111" s="190"/>
      <c r="F111" s="214">
        <v>0</v>
      </c>
      <c r="G111" s="190"/>
      <c r="H111" s="214">
        <v>0</v>
      </c>
      <c r="I111" s="190"/>
      <c r="J111" s="214">
        <v>0</v>
      </c>
      <c r="K111" s="190"/>
      <c r="L111" s="214">
        <v>0</v>
      </c>
    </row>
    <row r="112" spans="1:12" ht="15">
      <c r="A112" s="160">
        <v>46060</v>
      </c>
      <c r="B112" s="216">
        <v>0</v>
      </c>
      <c r="C112" s="74"/>
      <c r="D112" s="214">
        <v>0</v>
      </c>
      <c r="E112" s="191"/>
      <c r="F112" s="214">
        <v>0</v>
      </c>
      <c r="G112" s="190"/>
      <c r="H112" s="214">
        <v>0</v>
      </c>
      <c r="I112" s="190"/>
      <c r="J112" s="214">
        <v>0</v>
      </c>
      <c r="K112" s="190"/>
      <c r="L112" s="214">
        <v>0</v>
      </c>
    </row>
    <row r="113" spans="1:12" ht="15">
      <c r="A113" s="160">
        <v>46088</v>
      </c>
      <c r="B113" s="216">
        <v>0</v>
      </c>
      <c r="C113" s="74"/>
      <c r="D113" s="214">
        <v>0</v>
      </c>
      <c r="E113" s="190"/>
      <c r="F113" s="214">
        <v>0</v>
      </c>
      <c r="G113" s="192"/>
      <c r="H113" s="214">
        <v>0</v>
      </c>
      <c r="I113" s="190"/>
      <c r="J113" s="214">
        <v>0</v>
      </c>
      <c r="K113" s="191"/>
      <c r="L113" s="214">
        <v>0</v>
      </c>
    </row>
    <row r="114" spans="1:12" ht="15">
      <c r="A114" s="160">
        <v>46119</v>
      </c>
      <c r="B114" s="216">
        <v>0</v>
      </c>
      <c r="C114" s="74"/>
      <c r="D114" s="214">
        <v>0</v>
      </c>
      <c r="E114" s="190"/>
      <c r="F114" s="214">
        <v>0</v>
      </c>
      <c r="G114" s="192"/>
      <c r="H114" s="214">
        <v>0</v>
      </c>
      <c r="I114" s="190"/>
      <c r="J114" s="214">
        <v>0</v>
      </c>
      <c r="K114" s="190"/>
      <c r="L114" s="214">
        <v>0</v>
      </c>
    </row>
    <row r="115" spans="1:12" ht="15">
      <c r="A115" s="160">
        <v>46149</v>
      </c>
      <c r="B115" s="216">
        <v>0</v>
      </c>
      <c r="C115" s="74"/>
      <c r="D115" s="214">
        <v>0</v>
      </c>
      <c r="E115" s="190"/>
      <c r="F115" s="214">
        <v>0</v>
      </c>
      <c r="G115" s="190"/>
      <c r="H115" s="214">
        <v>0</v>
      </c>
      <c r="I115" s="190"/>
      <c r="J115" s="214">
        <v>0</v>
      </c>
      <c r="K115" s="190"/>
      <c r="L115" s="214">
        <v>0</v>
      </c>
    </row>
    <row r="116" spans="1:12" ht="15">
      <c r="A116" s="160">
        <v>46180</v>
      </c>
      <c r="B116" s="216">
        <v>0</v>
      </c>
      <c r="C116" s="74"/>
      <c r="D116" s="214">
        <v>0</v>
      </c>
      <c r="E116" s="190"/>
      <c r="F116" s="214">
        <v>0</v>
      </c>
      <c r="G116" s="190"/>
      <c r="H116" s="214">
        <v>0</v>
      </c>
      <c r="I116" s="190"/>
      <c r="J116" s="214">
        <v>0</v>
      </c>
      <c r="K116" s="190"/>
      <c r="L116" s="214">
        <v>0</v>
      </c>
    </row>
    <row r="117" spans="1:12" ht="15">
      <c r="A117" s="160">
        <v>46210</v>
      </c>
      <c r="B117" s="216">
        <v>0</v>
      </c>
      <c r="C117" s="74"/>
      <c r="D117" s="214">
        <v>0</v>
      </c>
      <c r="E117" s="192"/>
      <c r="F117" s="214">
        <v>0</v>
      </c>
      <c r="G117" s="190"/>
      <c r="H117" s="214">
        <v>0</v>
      </c>
      <c r="I117" s="190"/>
      <c r="J117" s="214">
        <v>0</v>
      </c>
      <c r="K117" s="192"/>
      <c r="L117" s="214">
        <v>0</v>
      </c>
    </row>
    <row r="118" spans="1:12" ht="15">
      <c r="A118" s="160">
        <v>46241</v>
      </c>
      <c r="B118" s="216">
        <v>0</v>
      </c>
      <c r="C118" s="74"/>
      <c r="D118" s="214">
        <v>0</v>
      </c>
      <c r="E118" s="192"/>
      <c r="F118" s="214">
        <v>0</v>
      </c>
      <c r="G118" s="190"/>
      <c r="H118" s="214">
        <v>0</v>
      </c>
      <c r="I118" s="193"/>
      <c r="J118" s="214">
        <v>0</v>
      </c>
      <c r="K118" s="190"/>
      <c r="L118" s="214">
        <v>0</v>
      </c>
    </row>
    <row r="119" spans="1:12" ht="15">
      <c r="A119" s="160">
        <v>46272</v>
      </c>
      <c r="B119" s="216">
        <v>0</v>
      </c>
      <c r="C119" s="74"/>
      <c r="D119" s="214">
        <v>0</v>
      </c>
      <c r="E119" s="190"/>
      <c r="F119" s="214">
        <v>0</v>
      </c>
      <c r="G119" s="190"/>
      <c r="H119" s="214">
        <v>0</v>
      </c>
      <c r="I119" s="192"/>
      <c r="J119" s="214">
        <v>0</v>
      </c>
      <c r="K119" s="190"/>
      <c r="L119" s="214">
        <v>0</v>
      </c>
    </row>
    <row r="120" spans="1:12" ht="15">
      <c r="A120" s="160">
        <v>46302</v>
      </c>
      <c r="B120" s="216">
        <v>0</v>
      </c>
      <c r="C120" s="74"/>
      <c r="D120" s="214">
        <v>0</v>
      </c>
      <c r="E120" s="192"/>
      <c r="F120" s="214">
        <v>0</v>
      </c>
      <c r="G120" s="192"/>
      <c r="H120" s="214">
        <v>0</v>
      </c>
      <c r="I120" s="190"/>
      <c r="J120" s="214">
        <v>0</v>
      </c>
      <c r="K120" s="190"/>
      <c r="L120" s="214">
        <v>0</v>
      </c>
    </row>
    <row r="121" spans="1:12" ht="15">
      <c r="A121" s="160">
        <v>46333</v>
      </c>
      <c r="B121" s="216">
        <v>0</v>
      </c>
      <c r="C121" s="74"/>
      <c r="D121" s="214">
        <v>0</v>
      </c>
      <c r="E121" s="190"/>
      <c r="F121" s="214">
        <v>0</v>
      </c>
      <c r="G121" s="190"/>
      <c r="H121" s="214">
        <v>0</v>
      </c>
      <c r="I121" s="190"/>
      <c r="J121" s="214">
        <v>0</v>
      </c>
      <c r="K121" s="190"/>
      <c r="L121" s="214">
        <v>0</v>
      </c>
    </row>
    <row r="122" spans="1:12" ht="15">
      <c r="A122" s="160">
        <v>46363</v>
      </c>
      <c r="B122" s="216">
        <v>0</v>
      </c>
      <c r="C122" s="74"/>
      <c r="D122" s="214">
        <v>0</v>
      </c>
      <c r="E122" s="190"/>
      <c r="F122" s="214">
        <v>0</v>
      </c>
      <c r="G122" s="190"/>
      <c r="H122" s="214">
        <v>0</v>
      </c>
      <c r="I122" s="190"/>
      <c r="J122" s="214">
        <v>0</v>
      </c>
      <c r="K122" s="190"/>
      <c r="L122" s="214">
        <v>0</v>
      </c>
    </row>
    <row r="123" spans="1:12" ht="15">
      <c r="A123" s="160">
        <v>46394</v>
      </c>
      <c r="B123" s="216">
        <v>0</v>
      </c>
      <c r="C123" s="74"/>
      <c r="D123" s="214">
        <v>0</v>
      </c>
      <c r="E123" s="190"/>
      <c r="F123" s="214">
        <v>0</v>
      </c>
      <c r="G123" s="190"/>
      <c r="H123" s="214">
        <v>0</v>
      </c>
      <c r="I123" s="190"/>
      <c r="J123" s="214">
        <v>0</v>
      </c>
      <c r="K123" s="190"/>
      <c r="L123" s="214">
        <v>0</v>
      </c>
    </row>
    <row r="124" spans="1:12" ht="15">
      <c r="A124" s="160">
        <v>46425</v>
      </c>
      <c r="B124" s="216">
        <v>0</v>
      </c>
      <c r="C124" s="74"/>
      <c r="D124" s="214">
        <v>0</v>
      </c>
      <c r="E124" s="190"/>
      <c r="F124" s="214">
        <v>0</v>
      </c>
      <c r="G124" s="190"/>
      <c r="H124" s="214">
        <v>0</v>
      </c>
      <c r="I124" s="190"/>
      <c r="J124" s="214">
        <v>0</v>
      </c>
      <c r="K124" s="190"/>
      <c r="L124" s="214">
        <v>0</v>
      </c>
    </row>
    <row r="125" spans="1:12" ht="15">
      <c r="A125" s="160">
        <v>46453</v>
      </c>
      <c r="B125" s="216">
        <v>0</v>
      </c>
      <c r="C125" s="74"/>
      <c r="D125" s="214">
        <v>0</v>
      </c>
      <c r="E125" s="190"/>
      <c r="F125" s="214">
        <v>0</v>
      </c>
      <c r="G125" s="190"/>
      <c r="H125" s="214">
        <v>0</v>
      </c>
      <c r="I125" s="190"/>
      <c r="J125" s="214">
        <v>0</v>
      </c>
      <c r="K125" s="190"/>
      <c r="L125" s="214">
        <v>0</v>
      </c>
    </row>
    <row r="126" spans="1:12" ht="15">
      <c r="A126" s="160">
        <v>46484</v>
      </c>
      <c r="B126" s="216">
        <v>0</v>
      </c>
      <c r="C126" s="74"/>
      <c r="D126" s="214">
        <v>0</v>
      </c>
      <c r="E126" s="190"/>
      <c r="F126" s="214">
        <v>0</v>
      </c>
      <c r="G126" s="190"/>
      <c r="H126" s="214">
        <v>0</v>
      </c>
      <c r="I126" s="191"/>
      <c r="J126" s="214">
        <v>0</v>
      </c>
      <c r="K126" s="190"/>
      <c r="L126" s="214">
        <v>0</v>
      </c>
    </row>
    <row r="127" spans="1:12" ht="15">
      <c r="A127" s="160">
        <v>46514</v>
      </c>
      <c r="B127" s="216">
        <v>0</v>
      </c>
      <c r="C127" s="74"/>
      <c r="D127" s="214">
        <v>0</v>
      </c>
      <c r="E127" s="190"/>
      <c r="F127" s="214">
        <v>0</v>
      </c>
      <c r="G127" s="190"/>
      <c r="H127" s="214">
        <v>0</v>
      </c>
      <c r="I127" s="190"/>
      <c r="J127" s="214">
        <v>0</v>
      </c>
      <c r="K127" s="190"/>
      <c r="L127" s="214">
        <v>0</v>
      </c>
    </row>
    <row r="128" spans="1:12" ht="15">
      <c r="A128" s="160">
        <v>46545</v>
      </c>
      <c r="B128" s="216">
        <v>0</v>
      </c>
      <c r="C128" s="74"/>
      <c r="D128" s="214">
        <v>0</v>
      </c>
      <c r="E128" s="190"/>
      <c r="F128" s="214">
        <v>0</v>
      </c>
      <c r="G128" s="190"/>
      <c r="H128" s="214">
        <v>0</v>
      </c>
      <c r="I128" s="190"/>
      <c r="J128" s="214">
        <v>0</v>
      </c>
      <c r="K128" s="190"/>
      <c r="L128" s="214">
        <v>0</v>
      </c>
    </row>
    <row r="129" spans="1:12" ht="15">
      <c r="A129" s="160">
        <v>46575</v>
      </c>
      <c r="B129" s="216">
        <v>0</v>
      </c>
      <c r="C129" s="74"/>
      <c r="D129" s="214">
        <v>0</v>
      </c>
      <c r="E129" s="190"/>
      <c r="F129" s="214">
        <v>0</v>
      </c>
      <c r="G129" s="190"/>
      <c r="H129" s="214">
        <v>0</v>
      </c>
      <c r="I129" s="190"/>
      <c r="J129" s="214">
        <v>0</v>
      </c>
      <c r="K129" s="190"/>
      <c r="L129" s="214">
        <v>0</v>
      </c>
    </row>
    <row r="130" spans="1:12" ht="15">
      <c r="A130" s="160">
        <v>46606</v>
      </c>
      <c r="B130" s="216">
        <v>0</v>
      </c>
      <c r="C130" s="74"/>
      <c r="D130" s="214">
        <v>0</v>
      </c>
      <c r="E130" s="190"/>
      <c r="F130" s="214">
        <v>0</v>
      </c>
      <c r="G130" s="190"/>
      <c r="H130" s="214">
        <v>0</v>
      </c>
      <c r="I130" s="190"/>
      <c r="J130" s="214">
        <v>0</v>
      </c>
      <c r="K130" s="190"/>
      <c r="L130" s="214">
        <v>0</v>
      </c>
    </row>
    <row r="131" spans="1:12" ht="15">
      <c r="A131" s="160">
        <v>46637</v>
      </c>
      <c r="B131" s="216">
        <v>0</v>
      </c>
      <c r="C131" s="74"/>
      <c r="D131" s="214">
        <v>0</v>
      </c>
      <c r="E131" s="190"/>
      <c r="F131" s="214">
        <v>0</v>
      </c>
      <c r="G131" s="190"/>
      <c r="H131" s="214">
        <v>0</v>
      </c>
      <c r="I131" s="190"/>
      <c r="J131" s="214">
        <v>0</v>
      </c>
      <c r="K131" s="190"/>
      <c r="L131" s="214">
        <v>0</v>
      </c>
    </row>
    <row r="132" spans="1:12" ht="15">
      <c r="A132" s="160">
        <v>46667</v>
      </c>
      <c r="B132" s="216">
        <v>0</v>
      </c>
      <c r="C132" s="74"/>
      <c r="D132" s="214">
        <v>0</v>
      </c>
      <c r="E132" s="190"/>
      <c r="F132" s="214">
        <v>0</v>
      </c>
      <c r="G132" s="190"/>
      <c r="H132" s="214">
        <v>0</v>
      </c>
      <c r="I132" s="190"/>
      <c r="J132" s="214">
        <v>0</v>
      </c>
      <c r="K132" s="190"/>
      <c r="L132" s="214">
        <v>0</v>
      </c>
    </row>
    <row r="133" spans="1:12" ht="15">
      <c r="A133" s="160">
        <v>46698</v>
      </c>
      <c r="B133" s="216">
        <v>0</v>
      </c>
      <c r="C133" s="74"/>
      <c r="D133" s="214">
        <v>0</v>
      </c>
      <c r="E133" s="190"/>
      <c r="F133" s="214">
        <v>0</v>
      </c>
      <c r="G133" s="190"/>
      <c r="H133" s="214">
        <v>0</v>
      </c>
      <c r="I133" s="190"/>
      <c r="J133" s="214">
        <v>0</v>
      </c>
      <c r="K133" s="190"/>
      <c r="L133" s="214">
        <v>0</v>
      </c>
    </row>
    <row r="134" spans="1:12" ht="15">
      <c r="A134" s="160">
        <v>46728</v>
      </c>
      <c r="B134" s="216">
        <v>0</v>
      </c>
      <c r="C134" s="74"/>
      <c r="D134" s="214">
        <v>0</v>
      </c>
      <c r="E134" s="190"/>
      <c r="F134" s="214">
        <v>0</v>
      </c>
      <c r="G134" s="190"/>
      <c r="H134" s="214">
        <v>0</v>
      </c>
      <c r="I134" s="190"/>
      <c r="J134" s="214">
        <v>0</v>
      </c>
      <c r="K134" s="190"/>
      <c r="L134" s="214">
        <v>0</v>
      </c>
    </row>
    <row r="135" spans="1:12" ht="15">
      <c r="A135" s="160">
        <v>46759</v>
      </c>
      <c r="B135" s="216">
        <v>0</v>
      </c>
      <c r="C135" s="74"/>
      <c r="D135" s="214">
        <v>0</v>
      </c>
      <c r="E135" s="190"/>
      <c r="F135" s="214">
        <v>0</v>
      </c>
      <c r="G135" s="190"/>
      <c r="H135" s="214">
        <v>0</v>
      </c>
      <c r="I135" s="190"/>
      <c r="J135" s="214">
        <v>0</v>
      </c>
      <c r="K135" s="190"/>
      <c r="L135" s="214">
        <v>0</v>
      </c>
    </row>
    <row r="136" spans="1:12" ht="15">
      <c r="A136" s="160">
        <v>46790</v>
      </c>
      <c r="B136" s="216">
        <v>0</v>
      </c>
      <c r="C136" s="74"/>
      <c r="D136" s="214">
        <v>0</v>
      </c>
      <c r="E136" s="190"/>
      <c r="F136" s="214">
        <v>0</v>
      </c>
      <c r="G136" s="190"/>
      <c r="H136" s="214">
        <v>0</v>
      </c>
      <c r="I136" s="190"/>
      <c r="J136" s="214">
        <v>0</v>
      </c>
      <c r="K136" s="190"/>
      <c r="L136" s="214">
        <v>0</v>
      </c>
    </row>
    <row r="137" spans="1:12" ht="15">
      <c r="A137" s="160">
        <v>46819</v>
      </c>
      <c r="B137" s="216">
        <v>0</v>
      </c>
      <c r="C137" s="74"/>
      <c r="D137" s="214">
        <v>0</v>
      </c>
      <c r="E137" s="190"/>
      <c r="F137" s="214">
        <v>0</v>
      </c>
      <c r="G137" s="191"/>
      <c r="H137" s="214">
        <v>0</v>
      </c>
      <c r="I137" s="190"/>
      <c r="J137" s="214">
        <v>0</v>
      </c>
      <c r="K137" s="190"/>
      <c r="L137" s="214">
        <v>0</v>
      </c>
    </row>
    <row r="138" spans="1:12" ht="15">
      <c r="A138" s="160">
        <v>46850</v>
      </c>
      <c r="B138" s="216">
        <v>0</v>
      </c>
      <c r="C138" s="74"/>
      <c r="D138" s="214">
        <v>0</v>
      </c>
      <c r="E138" s="190"/>
      <c r="F138" s="214">
        <v>0</v>
      </c>
      <c r="G138" s="190"/>
      <c r="H138" s="214">
        <v>0</v>
      </c>
      <c r="I138" s="190"/>
      <c r="J138" s="214">
        <v>0</v>
      </c>
      <c r="K138" s="190"/>
      <c r="L138" s="214">
        <v>0</v>
      </c>
    </row>
    <row r="139" spans="1:12" ht="15">
      <c r="A139" s="160">
        <v>46880</v>
      </c>
      <c r="B139" s="216">
        <v>0</v>
      </c>
      <c r="C139" s="74"/>
      <c r="D139" s="214">
        <v>0</v>
      </c>
      <c r="E139" s="190"/>
      <c r="F139" s="214">
        <v>0</v>
      </c>
      <c r="G139" s="190"/>
      <c r="H139" s="214">
        <v>0</v>
      </c>
      <c r="I139" s="190"/>
      <c r="J139" s="214">
        <v>0</v>
      </c>
      <c r="K139" s="190"/>
      <c r="L139" s="214">
        <v>0</v>
      </c>
    </row>
    <row r="140" spans="1:12" ht="15">
      <c r="A140" s="160">
        <v>46911</v>
      </c>
      <c r="B140" s="216">
        <v>0</v>
      </c>
      <c r="C140" s="74"/>
      <c r="D140" s="214">
        <v>0</v>
      </c>
      <c r="E140" s="190"/>
      <c r="F140" s="214">
        <v>0</v>
      </c>
      <c r="G140" s="190"/>
      <c r="H140" s="214">
        <v>0</v>
      </c>
      <c r="I140" s="190"/>
      <c r="J140" s="214">
        <v>0</v>
      </c>
      <c r="K140" s="190"/>
      <c r="L140" s="214">
        <v>0</v>
      </c>
    </row>
    <row r="141" spans="1:12" ht="15">
      <c r="A141" s="160">
        <v>46941</v>
      </c>
      <c r="B141" s="216">
        <v>0</v>
      </c>
      <c r="C141" s="74"/>
      <c r="D141" s="214">
        <v>0</v>
      </c>
      <c r="E141" s="190"/>
      <c r="F141" s="214">
        <v>0</v>
      </c>
      <c r="G141" s="190"/>
      <c r="H141" s="214">
        <v>0</v>
      </c>
      <c r="I141" s="190"/>
      <c r="J141" s="214">
        <v>0</v>
      </c>
      <c r="K141" s="190"/>
      <c r="L141" s="214">
        <v>0</v>
      </c>
    </row>
    <row r="142" spans="1:12" ht="15">
      <c r="A142" s="160">
        <v>46972</v>
      </c>
      <c r="B142" s="216">
        <v>0</v>
      </c>
      <c r="C142" s="74"/>
      <c r="D142" s="214">
        <v>0</v>
      </c>
      <c r="E142" s="190"/>
      <c r="F142" s="214">
        <v>0</v>
      </c>
      <c r="G142" s="190"/>
      <c r="H142" s="214">
        <v>0</v>
      </c>
      <c r="I142" s="190"/>
      <c r="J142" s="214">
        <v>0</v>
      </c>
      <c r="K142" s="190"/>
      <c r="L142" s="214">
        <v>0</v>
      </c>
    </row>
    <row r="143" spans="1:12" ht="15">
      <c r="A143" s="160">
        <v>47003</v>
      </c>
      <c r="B143" s="216">
        <v>0</v>
      </c>
      <c r="C143" s="74"/>
      <c r="D143" s="214">
        <v>0</v>
      </c>
      <c r="E143" s="190"/>
      <c r="F143" s="214">
        <v>0</v>
      </c>
      <c r="G143" s="190"/>
      <c r="H143" s="214">
        <v>0</v>
      </c>
      <c r="I143" s="190"/>
      <c r="J143" s="214">
        <v>0</v>
      </c>
      <c r="K143" s="190"/>
      <c r="L143" s="214">
        <v>0</v>
      </c>
    </row>
    <row r="144" spans="1:12" ht="15">
      <c r="A144" s="160">
        <v>47033</v>
      </c>
      <c r="B144" s="216">
        <v>0</v>
      </c>
      <c r="C144" s="74"/>
      <c r="D144" s="214">
        <v>0</v>
      </c>
      <c r="E144" s="190"/>
      <c r="F144" s="214">
        <v>0</v>
      </c>
      <c r="G144" s="190"/>
      <c r="H144" s="214">
        <v>0</v>
      </c>
      <c r="I144" s="190"/>
      <c r="J144" s="214">
        <v>0</v>
      </c>
      <c r="K144" s="190"/>
      <c r="L144" s="214">
        <v>0</v>
      </c>
    </row>
    <row r="145" spans="1:12" ht="15">
      <c r="A145" s="160">
        <v>47064</v>
      </c>
      <c r="B145" s="216">
        <v>0</v>
      </c>
      <c r="C145" s="74"/>
      <c r="D145" s="214">
        <v>0</v>
      </c>
      <c r="E145" s="191"/>
      <c r="F145" s="214">
        <v>0</v>
      </c>
      <c r="G145" s="191"/>
      <c r="H145" s="214">
        <v>0</v>
      </c>
      <c r="I145" s="191"/>
      <c r="J145" s="214">
        <v>0</v>
      </c>
      <c r="K145" s="191"/>
      <c r="L145" s="214">
        <v>0</v>
      </c>
    </row>
    <row r="146" spans="1:12" ht="15">
      <c r="A146" s="160">
        <v>47094</v>
      </c>
      <c r="B146" s="216">
        <v>0</v>
      </c>
      <c r="C146" s="74"/>
      <c r="D146" s="214">
        <v>0</v>
      </c>
      <c r="E146" s="190"/>
      <c r="F146" s="214">
        <v>0</v>
      </c>
      <c r="G146" s="190"/>
      <c r="H146" s="214">
        <v>0</v>
      </c>
      <c r="I146" s="190"/>
      <c r="J146" s="214">
        <v>0</v>
      </c>
      <c r="K146" s="190"/>
      <c r="L146" s="214">
        <v>0</v>
      </c>
    </row>
    <row r="147" spans="1:12" ht="15">
      <c r="A147" s="160">
        <v>47125</v>
      </c>
      <c r="B147" s="216">
        <v>0</v>
      </c>
      <c r="C147" s="74"/>
      <c r="D147" s="214">
        <v>0</v>
      </c>
      <c r="E147" s="191"/>
      <c r="F147" s="214">
        <v>0</v>
      </c>
      <c r="G147" s="190"/>
      <c r="H147" s="214">
        <v>0</v>
      </c>
      <c r="I147" s="190"/>
      <c r="J147" s="214">
        <v>0</v>
      </c>
      <c r="K147" s="190"/>
      <c r="L147" s="214">
        <v>0</v>
      </c>
    </row>
    <row r="148" spans="1:12" ht="15">
      <c r="A148" s="160">
        <v>47156</v>
      </c>
      <c r="B148" s="216">
        <v>0</v>
      </c>
      <c r="C148" s="74"/>
      <c r="D148" s="214">
        <v>0</v>
      </c>
      <c r="E148" s="190"/>
      <c r="F148" s="214">
        <v>0</v>
      </c>
      <c r="G148" s="190"/>
      <c r="H148" s="214">
        <v>0</v>
      </c>
      <c r="I148" s="190"/>
      <c r="J148" s="214">
        <v>0</v>
      </c>
      <c r="K148" s="190"/>
      <c r="L148" s="214">
        <v>0</v>
      </c>
    </row>
    <row r="149" spans="1:12" ht="15">
      <c r="A149" s="160">
        <v>47184</v>
      </c>
      <c r="B149" s="216">
        <v>0</v>
      </c>
      <c r="C149" s="74"/>
      <c r="D149" s="214">
        <v>0</v>
      </c>
      <c r="E149" s="190"/>
      <c r="F149" s="214">
        <v>0</v>
      </c>
      <c r="G149" s="190"/>
      <c r="H149" s="214">
        <v>0</v>
      </c>
      <c r="I149" s="190"/>
      <c r="J149" s="214">
        <v>0</v>
      </c>
      <c r="K149" s="190"/>
      <c r="L149" s="214">
        <v>0</v>
      </c>
    </row>
    <row r="150" spans="1:12" ht="15">
      <c r="A150" s="160">
        <v>47215</v>
      </c>
      <c r="B150" s="216">
        <v>0</v>
      </c>
      <c r="C150" s="74"/>
      <c r="D150" s="214">
        <v>0</v>
      </c>
      <c r="E150" s="190"/>
      <c r="F150" s="214">
        <v>0</v>
      </c>
      <c r="G150" s="190"/>
      <c r="H150" s="214">
        <v>0</v>
      </c>
      <c r="I150" s="190"/>
      <c r="J150" s="214">
        <v>0</v>
      </c>
      <c r="K150" s="190"/>
      <c r="L150" s="214">
        <v>0</v>
      </c>
    </row>
    <row r="151" spans="1:12" ht="15">
      <c r="A151" s="160">
        <v>47245</v>
      </c>
      <c r="B151" s="216">
        <v>0</v>
      </c>
      <c r="C151" s="74"/>
      <c r="D151" s="214">
        <v>0</v>
      </c>
      <c r="E151" s="190"/>
      <c r="F151" s="214">
        <v>0</v>
      </c>
      <c r="G151" s="190"/>
      <c r="H151" s="214">
        <v>0</v>
      </c>
      <c r="I151" s="190"/>
      <c r="J151" s="214">
        <v>0</v>
      </c>
      <c r="K151" s="190"/>
      <c r="L151" s="214">
        <v>0</v>
      </c>
    </row>
    <row r="152" spans="1:12" ht="15">
      <c r="A152" s="160">
        <v>47276</v>
      </c>
      <c r="B152" s="216">
        <v>0</v>
      </c>
      <c r="C152" s="74"/>
      <c r="D152" s="214">
        <v>0</v>
      </c>
      <c r="E152" s="190"/>
      <c r="F152" s="214">
        <v>0</v>
      </c>
      <c r="G152" s="190"/>
      <c r="H152" s="214">
        <v>0</v>
      </c>
      <c r="I152" s="190"/>
      <c r="J152" s="214">
        <v>0</v>
      </c>
      <c r="K152" s="190"/>
      <c r="L152" s="214">
        <v>0</v>
      </c>
    </row>
    <row r="153" spans="1:12" ht="15">
      <c r="A153" s="160">
        <v>47306</v>
      </c>
      <c r="B153" s="216">
        <v>0</v>
      </c>
      <c r="C153" s="74"/>
      <c r="D153" s="214">
        <v>0</v>
      </c>
      <c r="E153" s="190"/>
      <c r="F153" s="214">
        <v>0</v>
      </c>
      <c r="G153" s="190"/>
      <c r="H153" s="214">
        <v>0</v>
      </c>
      <c r="I153" s="190"/>
      <c r="J153" s="214">
        <v>0</v>
      </c>
      <c r="K153" s="190"/>
      <c r="L153" s="214">
        <v>0</v>
      </c>
    </row>
    <row r="154" spans="1:12" ht="15">
      <c r="A154" s="160">
        <v>47337</v>
      </c>
      <c r="B154" s="216">
        <v>0</v>
      </c>
      <c r="C154" s="74"/>
      <c r="D154" s="214">
        <v>0</v>
      </c>
      <c r="E154" s="190"/>
      <c r="F154" s="214">
        <v>0</v>
      </c>
      <c r="G154" s="190"/>
      <c r="H154" s="214">
        <v>0</v>
      </c>
      <c r="I154" s="190"/>
      <c r="J154" s="214">
        <v>0</v>
      </c>
      <c r="K154" s="190"/>
      <c r="L154" s="214">
        <v>0</v>
      </c>
    </row>
    <row r="155" spans="1:12" ht="15">
      <c r="A155" s="160">
        <v>47368</v>
      </c>
      <c r="B155" s="216">
        <v>0</v>
      </c>
      <c r="C155" s="74"/>
      <c r="D155" s="214">
        <v>0</v>
      </c>
      <c r="E155" s="190"/>
      <c r="F155" s="214">
        <v>0</v>
      </c>
      <c r="G155" s="190"/>
      <c r="H155" s="214">
        <v>0</v>
      </c>
      <c r="I155" s="190"/>
      <c r="J155" s="214">
        <v>0</v>
      </c>
      <c r="K155" s="190"/>
      <c r="L155" s="214">
        <v>0</v>
      </c>
    </row>
    <row r="156" spans="1:12" ht="15">
      <c r="A156" s="160">
        <v>47398</v>
      </c>
      <c r="B156" s="216">
        <v>0</v>
      </c>
      <c r="C156" s="74"/>
      <c r="D156" s="214">
        <v>0</v>
      </c>
      <c r="E156" s="190"/>
      <c r="F156" s="214">
        <v>0</v>
      </c>
      <c r="G156" s="190"/>
      <c r="H156" s="214">
        <v>0</v>
      </c>
      <c r="I156" s="190"/>
      <c r="J156" s="214">
        <v>0</v>
      </c>
      <c r="K156" s="190"/>
      <c r="L156" s="214">
        <v>0</v>
      </c>
    </row>
    <row r="157" spans="1:12" ht="15">
      <c r="A157" s="160">
        <v>47429</v>
      </c>
      <c r="B157" s="216">
        <v>0</v>
      </c>
      <c r="C157" s="74"/>
      <c r="D157" s="214">
        <v>0</v>
      </c>
      <c r="E157" s="190"/>
      <c r="F157" s="214">
        <v>0</v>
      </c>
      <c r="G157" s="190"/>
      <c r="H157" s="214">
        <v>0</v>
      </c>
      <c r="I157" s="190"/>
      <c r="J157" s="214">
        <v>0</v>
      </c>
      <c r="K157" s="190"/>
      <c r="L157" s="214">
        <v>0</v>
      </c>
    </row>
    <row r="158" spans="1:12" ht="15">
      <c r="A158" s="160">
        <v>47459</v>
      </c>
      <c r="B158" s="216">
        <v>0</v>
      </c>
      <c r="D158" s="214">
        <v>0</v>
      </c>
      <c r="E158" s="190"/>
      <c r="F158" s="214">
        <v>0</v>
      </c>
      <c r="G158" s="190"/>
      <c r="H158" s="214">
        <v>0</v>
      </c>
      <c r="I158" s="190"/>
      <c r="J158" s="214">
        <v>0</v>
      </c>
      <c r="K158" s="190"/>
      <c r="L158" s="214">
        <v>0</v>
      </c>
    </row>
    <row r="159" spans="1:12" ht="15">
      <c r="A159" s="160">
        <v>47490</v>
      </c>
      <c r="B159" s="216">
        <v>0</v>
      </c>
      <c r="D159" s="214">
        <v>0</v>
      </c>
      <c r="E159" s="190"/>
      <c r="F159" s="214">
        <v>0</v>
      </c>
      <c r="G159" s="190"/>
      <c r="H159" s="214">
        <v>0</v>
      </c>
      <c r="I159" s="190"/>
      <c r="J159" s="214">
        <v>0</v>
      </c>
      <c r="K159" s="190"/>
      <c r="L159" s="214">
        <v>0</v>
      </c>
    </row>
    <row r="160" spans="1:12" ht="15">
      <c r="A160" s="160">
        <v>47521</v>
      </c>
      <c r="B160" s="216">
        <v>0</v>
      </c>
      <c r="D160" s="214">
        <v>0</v>
      </c>
      <c r="E160" s="190"/>
      <c r="F160" s="214">
        <v>0</v>
      </c>
      <c r="G160" s="190"/>
      <c r="H160" s="214">
        <v>0</v>
      </c>
      <c r="I160" s="190"/>
      <c r="J160" s="214">
        <v>0</v>
      </c>
      <c r="K160" s="190"/>
      <c r="L160" s="214">
        <v>0</v>
      </c>
    </row>
    <row r="161" spans="1:12" ht="15">
      <c r="A161" s="160">
        <v>47549</v>
      </c>
      <c r="B161" s="216">
        <v>0</v>
      </c>
      <c r="D161" s="214">
        <v>0</v>
      </c>
      <c r="E161" s="190"/>
      <c r="F161" s="214">
        <v>0</v>
      </c>
      <c r="G161" s="190"/>
      <c r="H161" s="214">
        <v>0</v>
      </c>
      <c r="I161" s="190"/>
      <c r="J161" s="214">
        <v>0</v>
      </c>
      <c r="K161" s="190"/>
      <c r="L161" s="214">
        <v>0</v>
      </c>
    </row>
    <row r="162" spans="1:12" ht="15">
      <c r="A162" s="160">
        <v>47580</v>
      </c>
      <c r="B162" s="216">
        <v>0</v>
      </c>
      <c r="D162" s="214">
        <v>0</v>
      </c>
      <c r="E162" s="190"/>
      <c r="F162" s="214">
        <v>0</v>
      </c>
      <c r="G162" s="190"/>
      <c r="H162" s="214">
        <v>0</v>
      </c>
      <c r="I162" s="190"/>
      <c r="J162" s="214">
        <v>0</v>
      </c>
      <c r="K162" s="190"/>
      <c r="L162" s="214">
        <v>0</v>
      </c>
    </row>
    <row r="163" spans="1:12" ht="15">
      <c r="A163" s="160">
        <v>47610</v>
      </c>
      <c r="B163" s="216">
        <v>0</v>
      </c>
      <c r="D163" s="214">
        <v>0</v>
      </c>
      <c r="E163" s="190"/>
      <c r="F163" s="214">
        <v>0</v>
      </c>
      <c r="G163" s="190"/>
      <c r="H163" s="214">
        <v>0</v>
      </c>
      <c r="I163" s="190"/>
      <c r="J163" s="214">
        <v>0</v>
      </c>
      <c r="K163" s="190"/>
      <c r="L163" s="214">
        <v>0</v>
      </c>
    </row>
    <row r="164" spans="1:12" ht="15">
      <c r="A164" s="160">
        <v>47641</v>
      </c>
      <c r="B164" s="216">
        <v>0</v>
      </c>
      <c r="D164" s="214">
        <v>0</v>
      </c>
      <c r="E164" s="190"/>
      <c r="F164" s="214">
        <v>0</v>
      </c>
      <c r="G164" s="190"/>
      <c r="H164" s="214">
        <v>0</v>
      </c>
      <c r="I164" s="190"/>
      <c r="J164" s="214">
        <v>0</v>
      </c>
      <c r="K164" s="190"/>
      <c r="L164" s="214">
        <v>0</v>
      </c>
    </row>
    <row r="165" spans="1:12" ht="15">
      <c r="A165" s="160">
        <v>47671</v>
      </c>
      <c r="B165" s="216">
        <v>0</v>
      </c>
      <c r="D165" s="214">
        <v>0</v>
      </c>
      <c r="E165" s="190"/>
      <c r="F165" s="214">
        <v>0</v>
      </c>
      <c r="G165" s="190"/>
      <c r="H165" s="214">
        <v>0</v>
      </c>
      <c r="I165" s="190"/>
      <c r="J165" s="214">
        <v>0</v>
      </c>
      <c r="K165" s="190"/>
      <c r="L165" s="214">
        <v>0</v>
      </c>
    </row>
    <row r="166" spans="1:12" ht="15">
      <c r="A166" s="160">
        <v>47702</v>
      </c>
      <c r="B166" s="216">
        <v>0</v>
      </c>
      <c r="D166" s="214">
        <v>0</v>
      </c>
      <c r="E166" s="190"/>
      <c r="F166" s="214">
        <v>0</v>
      </c>
      <c r="G166" s="190"/>
      <c r="H166" s="214">
        <v>0</v>
      </c>
      <c r="I166" s="190"/>
      <c r="J166" s="214">
        <v>0</v>
      </c>
      <c r="K166" s="190"/>
      <c r="L166" s="214">
        <v>0</v>
      </c>
    </row>
    <row r="167" spans="1:12" ht="15">
      <c r="A167" s="160">
        <v>47733</v>
      </c>
      <c r="B167" s="216">
        <v>0</v>
      </c>
      <c r="D167" s="214">
        <v>0</v>
      </c>
      <c r="E167" s="190"/>
      <c r="F167" s="214">
        <v>0</v>
      </c>
      <c r="G167" s="190"/>
      <c r="H167" s="214">
        <v>0</v>
      </c>
      <c r="I167" s="190"/>
      <c r="J167" s="214">
        <v>0</v>
      </c>
      <c r="K167" s="190"/>
      <c r="L167" s="214">
        <v>0</v>
      </c>
    </row>
    <row r="168" spans="1:12" ht="15">
      <c r="A168" s="160">
        <v>47763</v>
      </c>
      <c r="B168" s="216">
        <v>0</v>
      </c>
      <c r="D168" s="214">
        <v>0</v>
      </c>
      <c r="E168" s="190"/>
      <c r="F168" s="214">
        <v>0</v>
      </c>
      <c r="G168" s="190"/>
      <c r="H168" s="214">
        <v>0</v>
      </c>
      <c r="I168" s="190"/>
      <c r="J168" s="214">
        <v>0</v>
      </c>
      <c r="K168" s="190"/>
      <c r="L168" s="214">
        <v>0</v>
      </c>
    </row>
    <row r="169" spans="1:12" ht="15">
      <c r="A169" s="160">
        <v>47794</v>
      </c>
      <c r="B169" s="216">
        <v>0</v>
      </c>
      <c r="D169" s="214">
        <v>0</v>
      </c>
      <c r="E169" s="194"/>
      <c r="F169" s="214">
        <v>0</v>
      </c>
      <c r="G169" s="194"/>
      <c r="H169" s="214">
        <v>0</v>
      </c>
      <c r="I169" s="194"/>
      <c r="J169" s="214">
        <v>0</v>
      </c>
      <c r="K169" s="194"/>
      <c r="L169" s="214">
        <v>0</v>
      </c>
    </row>
    <row r="170" spans="1:12" ht="15">
      <c r="A170" s="160">
        <v>47824</v>
      </c>
      <c r="B170" s="216">
        <v>0</v>
      </c>
      <c r="D170" s="214">
        <v>0</v>
      </c>
      <c r="E170" s="194"/>
      <c r="F170" s="214">
        <v>0</v>
      </c>
      <c r="G170" s="194"/>
      <c r="H170" s="214">
        <v>0</v>
      </c>
      <c r="I170" s="194"/>
      <c r="J170" s="214">
        <v>0</v>
      </c>
      <c r="K170" s="194"/>
      <c r="L170" s="214">
        <v>0</v>
      </c>
    </row>
    <row r="171" spans="1:12" ht="15">
      <c r="A171" s="160">
        <v>47855</v>
      </c>
      <c r="B171" s="216">
        <v>0</v>
      </c>
      <c r="D171" s="214">
        <v>0</v>
      </c>
      <c r="E171" s="194"/>
      <c r="F171" s="214">
        <v>0</v>
      </c>
      <c r="G171" s="194"/>
      <c r="H171" s="214">
        <v>0</v>
      </c>
      <c r="I171" s="194"/>
      <c r="J171" s="214">
        <v>0</v>
      </c>
      <c r="K171" s="194"/>
      <c r="L171" s="214">
        <v>0</v>
      </c>
    </row>
    <row r="172" spans="1:12" ht="15">
      <c r="A172" s="160">
        <v>47886</v>
      </c>
      <c r="B172" s="216">
        <v>0</v>
      </c>
      <c r="D172" s="214">
        <v>0</v>
      </c>
      <c r="E172" s="194"/>
      <c r="F172" s="214">
        <v>0</v>
      </c>
      <c r="G172" s="194"/>
      <c r="H172" s="214">
        <v>0</v>
      </c>
      <c r="I172" s="194"/>
      <c r="J172" s="214">
        <v>0</v>
      </c>
      <c r="K172" s="194"/>
      <c r="L172" s="214">
        <v>0</v>
      </c>
    </row>
    <row r="173" spans="1:12" ht="15">
      <c r="A173" s="160">
        <v>47914</v>
      </c>
      <c r="B173" s="216">
        <v>0</v>
      </c>
      <c r="D173" s="214">
        <v>0</v>
      </c>
      <c r="E173" s="194"/>
      <c r="F173" s="214">
        <v>0</v>
      </c>
      <c r="G173" s="194"/>
      <c r="H173" s="214">
        <v>0</v>
      </c>
      <c r="I173" s="194"/>
      <c r="J173" s="214">
        <v>0</v>
      </c>
      <c r="K173" s="194"/>
      <c r="L173" s="214">
        <v>0</v>
      </c>
    </row>
    <row r="174" spans="1:12" ht="15">
      <c r="A174" s="160">
        <v>47945</v>
      </c>
      <c r="B174" s="216">
        <v>0</v>
      </c>
      <c r="D174" s="214">
        <v>0</v>
      </c>
      <c r="E174" s="194"/>
      <c r="F174" s="214">
        <v>0</v>
      </c>
      <c r="G174" s="194"/>
      <c r="H174" s="214">
        <v>0</v>
      </c>
      <c r="I174" s="194"/>
      <c r="J174" s="214">
        <v>0</v>
      </c>
      <c r="K174" s="194"/>
      <c r="L174" s="214">
        <v>0</v>
      </c>
    </row>
    <row r="175" spans="1:12" ht="15">
      <c r="A175" s="160">
        <v>47975</v>
      </c>
      <c r="B175" s="216">
        <v>0</v>
      </c>
      <c r="D175" s="214">
        <v>0</v>
      </c>
      <c r="E175" s="194"/>
      <c r="F175" s="214">
        <v>0</v>
      </c>
      <c r="G175" s="194"/>
      <c r="H175" s="214">
        <v>0</v>
      </c>
      <c r="I175" s="194"/>
      <c r="J175" s="214">
        <v>0</v>
      </c>
      <c r="K175" s="194"/>
      <c r="L175" s="214">
        <v>0</v>
      </c>
    </row>
    <row r="176" spans="1:12" ht="15">
      <c r="A176" s="160">
        <v>48006</v>
      </c>
      <c r="B176" s="216">
        <v>0</v>
      </c>
      <c r="D176" s="214">
        <v>0</v>
      </c>
      <c r="E176" s="194"/>
      <c r="F176" s="214">
        <v>0</v>
      </c>
      <c r="G176" s="194"/>
      <c r="H176" s="214">
        <v>0</v>
      </c>
      <c r="I176" s="194"/>
      <c r="J176" s="214">
        <v>0</v>
      </c>
      <c r="K176" s="194"/>
      <c r="L176" s="214">
        <v>0</v>
      </c>
    </row>
    <row r="177" spans="1:12" ht="15">
      <c r="A177" s="160">
        <v>48036</v>
      </c>
      <c r="B177" s="216">
        <v>0</v>
      </c>
      <c r="D177" s="214">
        <v>0</v>
      </c>
      <c r="E177" s="194"/>
      <c r="F177" s="214">
        <v>0</v>
      </c>
      <c r="G177" s="194"/>
      <c r="H177" s="214">
        <v>0</v>
      </c>
      <c r="I177" s="194"/>
      <c r="J177" s="214">
        <v>0</v>
      </c>
      <c r="K177" s="194"/>
      <c r="L177" s="214">
        <v>0</v>
      </c>
    </row>
    <row r="178" spans="1:12" ht="15">
      <c r="A178" s="160">
        <v>48067</v>
      </c>
      <c r="B178" s="216">
        <v>0</v>
      </c>
      <c r="D178" s="214">
        <v>0</v>
      </c>
      <c r="E178" s="194"/>
      <c r="F178" s="214">
        <v>0</v>
      </c>
      <c r="G178" s="194"/>
      <c r="H178" s="214">
        <v>0</v>
      </c>
      <c r="I178" s="194"/>
      <c r="J178" s="214">
        <v>0</v>
      </c>
      <c r="K178" s="194"/>
      <c r="L178" s="214">
        <v>0</v>
      </c>
    </row>
    <row r="179" spans="1:12" ht="15">
      <c r="A179" s="160">
        <v>48098</v>
      </c>
      <c r="B179" s="216">
        <v>0</v>
      </c>
      <c r="D179" s="214">
        <v>0</v>
      </c>
      <c r="E179" s="194"/>
      <c r="F179" s="214">
        <v>0</v>
      </c>
      <c r="G179" s="194"/>
      <c r="H179" s="214">
        <v>0</v>
      </c>
      <c r="I179" s="194"/>
      <c r="J179" s="214">
        <v>0</v>
      </c>
      <c r="K179" s="194"/>
      <c r="L179" s="214">
        <v>0</v>
      </c>
    </row>
    <row r="180" spans="1:12" ht="15">
      <c r="A180" s="160">
        <v>48128</v>
      </c>
      <c r="B180" s="216">
        <v>0</v>
      </c>
      <c r="D180" s="214">
        <v>0</v>
      </c>
      <c r="E180" s="194"/>
      <c r="F180" s="214">
        <v>0</v>
      </c>
      <c r="G180" s="194"/>
      <c r="H180" s="214">
        <v>0</v>
      </c>
      <c r="I180" s="194"/>
      <c r="J180" s="214">
        <v>0</v>
      </c>
      <c r="K180" s="194"/>
      <c r="L180" s="214">
        <v>0</v>
      </c>
    </row>
    <row r="181" spans="1:12" ht="15">
      <c r="A181" s="160">
        <v>48159</v>
      </c>
      <c r="B181" s="216">
        <v>0</v>
      </c>
      <c r="D181" s="214">
        <v>0</v>
      </c>
      <c r="E181" s="194"/>
      <c r="F181" s="214">
        <v>0</v>
      </c>
      <c r="G181" s="194"/>
      <c r="H181" s="214">
        <v>0</v>
      </c>
      <c r="I181" s="194"/>
      <c r="J181" s="214">
        <v>0</v>
      </c>
      <c r="K181" s="194"/>
      <c r="L181" s="214">
        <v>0</v>
      </c>
    </row>
    <row r="182" spans="1:12" ht="15.75" thickBot="1">
      <c r="A182" s="160">
        <v>48189</v>
      </c>
      <c r="B182" s="217">
        <v>0</v>
      </c>
      <c r="D182" s="215">
        <v>0</v>
      </c>
      <c r="E182" s="194"/>
      <c r="F182" s="215">
        <v>0</v>
      </c>
      <c r="G182" s="194"/>
      <c r="H182" s="215">
        <v>0</v>
      </c>
      <c r="I182" s="194"/>
      <c r="J182" s="215">
        <v>0</v>
      </c>
      <c r="K182" s="194"/>
      <c r="L182" s="215">
        <v>0</v>
      </c>
    </row>
    <row r="183" spans="1:13" s="77" customFormat="1" ht="15.75" customHeight="1">
      <c r="A183" s="88"/>
      <c r="B183" s="77">
        <v>0</v>
      </c>
      <c r="C183" s="6"/>
      <c r="D183" s="77">
        <v>0</v>
      </c>
      <c r="E183" s="76"/>
      <c r="F183" s="77">
        <v>0</v>
      </c>
      <c r="G183" s="76"/>
      <c r="H183" s="77">
        <v>0</v>
      </c>
      <c r="I183" s="76"/>
      <c r="J183" s="77">
        <v>0</v>
      </c>
      <c r="K183"/>
      <c r="L183" s="77">
        <v>0</v>
      </c>
      <c r="M183" s="6"/>
    </row>
    <row r="184" spans="2:12" ht="12.75">
      <c r="B184" s="77">
        <f>1-B183</f>
        <v>1</v>
      </c>
      <c r="D184" s="77">
        <f>1-D183</f>
        <v>1</v>
      </c>
      <c r="F184" s="77">
        <f>1-F183</f>
        <v>1</v>
      </c>
      <c r="H184" s="77">
        <f>1-H183</f>
        <v>1</v>
      </c>
      <c r="J184" s="77">
        <f>1-J183</f>
        <v>1</v>
      </c>
      <c r="K184" s="77"/>
      <c r="L184" s="77">
        <f>1-L183</f>
        <v>1</v>
      </c>
    </row>
    <row r="185" spans="2:12" ht="12.75">
      <c r="B185" s="77"/>
      <c r="D185" s="77"/>
      <c r="F185" s="77"/>
      <c r="H185" s="77"/>
      <c r="J185" s="77"/>
      <c r="K185" s="77"/>
      <c r="L185" s="77"/>
    </row>
  </sheetData>
  <sheetProtection password="C5F9" sheet="1"/>
  <mergeCells count="1">
    <mergeCell ref="A1:A2"/>
  </mergeCells>
  <conditionalFormatting sqref="B183">
    <cfRule type="cellIs" priority="25" dxfId="2" operator="notEqual" stopIfTrue="1">
      <formula>1</formula>
    </cfRule>
  </conditionalFormatting>
  <conditionalFormatting sqref="D183">
    <cfRule type="cellIs" priority="24" dxfId="2" operator="notEqual" stopIfTrue="1">
      <formula>1</formula>
    </cfRule>
  </conditionalFormatting>
  <conditionalFormatting sqref="F183">
    <cfRule type="cellIs" priority="23" dxfId="2" operator="notEqual" stopIfTrue="1">
      <formula>1</formula>
    </cfRule>
  </conditionalFormatting>
  <conditionalFormatting sqref="H183">
    <cfRule type="cellIs" priority="22" dxfId="2" operator="notEqual" stopIfTrue="1">
      <formula>1</formula>
    </cfRule>
  </conditionalFormatting>
  <conditionalFormatting sqref="J183">
    <cfRule type="cellIs" priority="21" dxfId="2" operator="notEqual" stopIfTrue="1">
      <formula>1</formula>
    </cfRule>
  </conditionalFormatting>
  <conditionalFormatting sqref="L183">
    <cfRule type="cellIs" priority="20" dxfId="2" operator="notEqual" stopIfTrue="1">
      <formula>1</formula>
    </cfRule>
  </conditionalFormatting>
  <conditionalFormatting sqref="D3:D182 F3:F182 H3:H182 J3:J182 L3:L182">
    <cfRule type="cellIs" priority="1" dxfId="0" operator="greaterThan" stopIfTrue="1">
      <formula>0</formula>
    </cfRule>
  </conditionalFormatting>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6"/>
  <dimension ref="A1:H32"/>
  <sheetViews>
    <sheetView zoomScalePageLayoutView="0" workbookViewId="0" topLeftCell="A1">
      <selection activeCell="A16" sqref="A16"/>
    </sheetView>
  </sheetViews>
  <sheetFormatPr defaultColWidth="11.421875" defaultRowHeight="12.75"/>
  <cols>
    <col min="1" max="16384" width="11.421875" style="31" customWidth="1"/>
  </cols>
  <sheetData>
    <row r="1" spans="1:8" ht="12.75">
      <c r="A1" s="209" t="s">
        <v>47</v>
      </c>
      <c r="B1" s="210"/>
      <c r="C1" s="210"/>
      <c r="D1" s="210"/>
      <c r="E1" s="210"/>
      <c r="F1" s="210"/>
      <c r="G1" s="210"/>
      <c r="H1" s="210"/>
    </row>
    <row r="2" spans="1:8" ht="12.75">
      <c r="A2" s="210"/>
      <c r="B2" s="210"/>
      <c r="C2" s="210"/>
      <c r="D2" s="210"/>
      <c r="E2" s="210"/>
      <c r="F2" s="210"/>
      <c r="G2" s="210"/>
      <c r="H2" s="210"/>
    </row>
    <row r="3" spans="1:8" ht="12.75">
      <c r="A3" s="210"/>
      <c r="B3" s="210"/>
      <c r="C3" s="210"/>
      <c r="D3" s="210"/>
      <c r="E3" s="210"/>
      <c r="F3" s="210"/>
      <c r="G3" s="210"/>
      <c r="H3" s="210"/>
    </row>
    <row r="4" spans="1:8" ht="12.75">
      <c r="A4" s="210"/>
      <c r="B4" s="210"/>
      <c r="C4" s="210"/>
      <c r="D4" s="210"/>
      <c r="E4" s="210"/>
      <c r="F4" s="210"/>
      <c r="G4" s="210"/>
      <c r="H4" s="210"/>
    </row>
    <row r="5" spans="1:8" ht="12.75">
      <c r="A5" s="210"/>
      <c r="B5" s="210"/>
      <c r="C5" s="210"/>
      <c r="D5" s="210"/>
      <c r="E5" s="210"/>
      <c r="F5" s="210"/>
      <c r="G5" s="210"/>
      <c r="H5" s="210"/>
    </row>
    <row r="6" spans="1:8" ht="12.75">
      <c r="A6" s="210"/>
      <c r="B6" s="210"/>
      <c r="C6" s="210"/>
      <c r="D6" s="210"/>
      <c r="E6" s="210"/>
      <c r="F6" s="210"/>
      <c r="G6" s="210"/>
      <c r="H6" s="210"/>
    </row>
    <row r="7" spans="1:8" ht="12.75">
      <c r="A7" s="210"/>
      <c r="B7" s="210"/>
      <c r="C7" s="210"/>
      <c r="D7" s="210"/>
      <c r="E7" s="210"/>
      <c r="F7" s="210"/>
      <c r="G7" s="210"/>
      <c r="H7" s="210"/>
    </row>
    <row r="8" spans="1:8" ht="12.75">
      <c r="A8" s="210"/>
      <c r="B8" s="210"/>
      <c r="C8" s="210"/>
      <c r="D8" s="210"/>
      <c r="E8" s="210"/>
      <c r="F8" s="210"/>
      <c r="G8" s="210"/>
      <c r="H8" s="210"/>
    </row>
    <row r="9" spans="1:8" ht="12.75">
      <c r="A9" s="210"/>
      <c r="B9" s="210"/>
      <c r="C9" s="210"/>
      <c r="D9" s="210"/>
      <c r="E9" s="210"/>
      <c r="F9" s="210"/>
      <c r="G9" s="210"/>
      <c r="H9" s="210"/>
    </row>
    <row r="10" spans="1:8" ht="12.75">
      <c r="A10" s="210"/>
      <c r="B10" s="210"/>
      <c r="C10" s="210"/>
      <c r="D10" s="210"/>
      <c r="E10" s="210"/>
      <c r="F10" s="210"/>
      <c r="G10" s="210"/>
      <c r="H10" s="210"/>
    </row>
    <row r="11" spans="1:8" ht="12.75">
      <c r="A11" s="210"/>
      <c r="B11" s="210"/>
      <c r="C11" s="210"/>
      <c r="D11" s="210"/>
      <c r="E11" s="210"/>
      <c r="F11" s="210"/>
      <c r="G11" s="210"/>
      <c r="H11" s="210"/>
    </row>
    <row r="12" spans="1:8" ht="12.75">
      <c r="A12" s="210"/>
      <c r="B12" s="210"/>
      <c r="C12" s="210"/>
      <c r="D12" s="210"/>
      <c r="E12" s="210"/>
      <c r="F12" s="210"/>
      <c r="G12" s="210"/>
      <c r="H12" s="210"/>
    </row>
    <row r="13" spans="1:8" ht="12.75">
      <c r="A13" s="210"/>
      <c r="B13" s="210"/>
      <c r="C13" s="210"/>
      <c r="D13" s="210"/>
      <c r="E13" s="210"/>
      <c r="F13" s="210"/>
      <c r="G13" s="210"/>
      <c r="H13" s="210"/>
    </row>
    <row r="14" spans="1:8" ht="12.75">
      <c r="A14" s="210"/>
      <c r="B14" s="210"/>
      <c r="C14" s="210"/>
      <c r="D14" s="210"/>
      <c r="E14" s="210"/>
      <c r="F14" s="210"/>
      <c r="G14" s="210"/>
      <c r="H14" s="210"/>
    </row>
    <row r="16" ht="12.75">
      <c r="A16" s="32" t="s">
        <v>48</v>
      </c>
    </row>
    <row r="19" spans="1:8" ht="12.75">
      <c r="A19" s="211" t="s">
        <v>49</v>
      </c>
      <c r="B19" s="210"/>
      <c r="C19" s="210"/>
      <c r="D19" s="210"/>
      <c r="E19" s="210"/>
      <c r="F19" s="210"/>
      <c r="G19" s="210"/>
      <c r="H19" s="210"/>
    </row>
    <row r="20" spans="1:8" ht="12.75">
      <c r="A20" s="210"/>
      <c r="B20" s="210"/>
      <c r="C20" s="210"/>
      <c r="D20" s="210"/>
      <c r="E20" s="210"/>
      <c r="F20" s="210"/>
      <c r="G20" s="210"/>
      <c r="H20" s="210"/>
    </row>
    <row r="21" spans="1:8" ht="12.75">
      <c r="A21" s="210"/>
      <c r="B21" s="210"/>
      <c r="C21" s="210"/>
      <c r="D21" s="210"/>
      <c r="E21" s="210"/>
      <c r="F21" s="210"/>
      <c r="G21" s="210"/>
      <c r="H21" s="210"/>
    </row>
    <row r="22" spans="1:8" ht="12.75">
      <c r="A22" s="210"/>
      <c r="B22" s="210"/>
      <c r="C22" s="210"/>
      <c r="D22" s="210"/>
      <c r="E22" s="210"/>
      <c r="F22" s="210"/>
      <c r="G22" s="210"/>
      <c r="H22" s="210"/>
    </row>
    <row r="23" spans="1:8" ht="12.75">
      <c r="A23" s="210"/>
      <c r="B23" s="210"/>
      <c r="C23" s="210"/>
      <c r="D23" s="210"/>
      <c r="E23" s="210"/>
      <c r="F23" s="210"/>
      <c r="G23" s="210"/>
      <c r="H23" s="210"/>
    </row>
    <row r="24" spans="1:8" ht="12.75">
      <c r="A24" s="210"/>
      <c r="B24" s="210"/>
      <c r="C24" s="210"/>
      <c r="D24" s="210"/>
      <c r="E24" s="210"/>
      <c r="F24" s="210"/>
      <c r="G24" s="210"/>
      <c r="H24" s="210"/>
    </row>
    <row r="25" spans="1:8" ht="12.75">
      <c r="A25" s="210"/>
      <c r="B25" s="210"/>
      <c r="C25" s="210"/>
      <c r="D25" s="210"/>
      <c r="E25" s="210"/>
      <c r="F25" s="210"/>
      <c r="G25" s="210"/>
      <c r="H25" s="210"/>
    </row>
    <row r="26" spans="1:8" ht="12.75">
      <c r="A26" s="210"/>
      <c r="B26" s="210"/>
      <c r="C26" s="210"/>
      <c r="D26" s="210"/>
      <c r="E26" s="210"/>
      <c r="F26" s="210"/>
      <c r="G26" s="210"/>
      <c r="H26" s="210"/>
    </row>
    <row r="27" spans="1:8" ht="12.75">
      <c r="A27" s="210"/>
      <c r="B27" s="210"/>
      <c r="C27" s="210"/>
      <c r="D27" s="210"/>
      <c r="E27" s="210"/>
      <c r="F27" s="210"/>
      <c r="G27" s="210"/>
      <c r="H27" s="210"/>
    </row>
    <row r="28" spans="1:8" ht="12.75">
      <c r="A28" s="210"/>
      <c r="B28" s="210"/>
      <c r="C28" s="210"/>
      <c r="D28" s="210"/>
      <c r="E28" s="210"/>
      <c r="F28" s="210"/>
      <c r="G28" s="210"/>
      <c r="H28" s="210"/>
    </row>
    <row r="29" spans="1:8" ht="12.75">
      <c r="A29" s="210"/>
      <c r="B29" s="210"/>
      <c r="C29" s="210"/>
      <c r="D29" s="210"/>
      <c r="E29" s="210"/>
      <c r="F29" s="210"/>
      <c r="G29" s="210"/>
      <c r="H29" s="210"/>
    </row>
    <row r="30" spans="1:8" ht="12.75">
      <c r="A30" s="210"/>
      <c r="B30" s="210"/>
      <c r="C30" s="210"/>
      <c r="D30" s="210"/>
      <c r="E30" s="210"/>
      <c r="F30" s="210"/>
      <c r="G30" s="210"/>
      <c r="H30" s="210"/>
    </row>
    <row r="31" spans="1:8" ht="12.75">
      <c r="A31" s="210"/>
      <c r="B31" s="210"/>
      <c r="C31" s="210"/>
      <c r="D31" s="210"/>
      <c r="E31" s="210"/>
      <c r="F31" s="210"/>
      <c r="G31" s="210"/>
      <c r="H31" s="210"/>
    </row>
    <row r="32" spans="1:8" ht="12.75">
      <c r="A32" s="210"/>
      <c r="B32" s="210"/>
      <c r="C32" s="210"/>
      <c r="D32" s="210"/>
      <c r="E32" s="210"/>
      <c r="F32" s="210"/>
      <c r="G32" s="210"/>
      <c r="H32" s="210"/>
    </row>
  </sheetData>
  <sheetProtection password="C5F9" sheet="1" objects="1" scenarios="1"/>
  <mergeCells count="2">
    <mergeCell ref="A1:H14"/>
    <mergeCell ref="A19:H32"/>
  </mergeCells>
  <hyperlinks>
    <hyperlink ref="A16" location="'CALCULADORA TIPS Pesos E-12'!C2"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Diego Mauricio Valencia Figueroa</cp:lastModifiedBy>
  <cp:lastPrinted>2008-01-08T21:41:33Z</cp:lastPrinted>
  <dcterms:created xsi:type="dcterms:W3CDTF">2002-04-18T20:31:17Z</dcterms:created>
  <dcterms:modified xsi:type="dcterms:W3CDTF">2023-08-14T21:25:47Z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