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0" windowWidth="12120" windowHeight="4275" tabRatio="698" activeTab="0"/>
  </bookViews>
  <sheets>
    <sheet name="CALCULADORA TECH E-2" sheetId="1" r:id="rId1"/>
    <sheet name="Flujos Mensuales" sheetId="2" r:id="rId2"/>
  </sheets>
  <definedNames/>
  <calcPr fullCalcOnLoad="1"/>
</workbook>
</file>

<file path=xl/sharedStrings.xml><?xml version="1.0" encoding="utf-8"?>
<sst xmlns="http://schemas.openxmlformats.org/spreadsheetml/2006/main" count="85" uniqueCount="53">
  <si>
    <t>Fecha</t>
  </si>
  <si>
    <t>Pago Total</t>
  </si>
  <si>
    <t>Amortzacion</t>
  </si>
  <si>
    <t>Saldo vigente</t>
  </si>
  <si>
    <t>Pago a capital</t>
  </si>
  <si>
    <t>Pago Intereses</t>
  </si>
  <si>
    <t>Es el 100% del valor del titulo</t>
  </si>
  <si>
    <t>Día de emision</t>
  </si>
  <si>
    <t>VPN (Precio Sucio)</t>
  </si>
  <si>
    <t>Acrual</t>
  </si>
  <si>
    <t>VPN(precio sucio a otra tasa</t>
  </si>
  <si>
    <t>FECHA</t>
  </si>
  <si>
    <t>Meses</t>
  </si>
  <si>
    <t>Años</t>
  </si>
  <si>
    <t>Vida Promedio Teorica(meses)</t>
  </si>
  <si>
    <t>Calculo de los dias de accrual</t>
  </si>
  <si>
    <t>Accrual del periodo</t>
  </si>
  <si>
    <t>Dias de Acrual</t>
  </si>
  <si>
    <t>Acrual Total</t>
  </si>
  <si>
    <t>Precio Limpio</t>
  </si>
  <si>
    <t>Dias de valoracion</t>
  </si>
  <si>
    <t>TASA DE DESCUENTO</t>
  </si>
  <si>
    <t>EFECTIVA ANUAL</t>
  </si>
  <si>
    <t>TASA MV</t>
  </si>
  <si>
    <t>TASA CUPON</t>
  </si>
  <si>
    <t>VPN(precio sucio a tasa de descuento</t>
  </si>
  <si>
    <t>Numero de dias con base 360 a la fecha de valoracion</t>
  </si>
  <si>
    <t>PRECIO SUCIO / Vr Nominal Inicial</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</si>
  <si>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</si>
  <si>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Fecha de Emision</t>
  </si>
  <si>
    <t>Fecha de Cumplimiento</t>
  </si>
  <si>
    <t>Ultima fecha de pago</t>
  </si>
  <si>
    <t>TASA NOMINAL ANUAL TV</t>
  </si>
  <si>
    <t>TASA TV</t>
  </si>
  <si>
    <t>TASA NOMINAL ANUAL MV</t>
  </si>
  <si>
    <t>TABLA DE AMORTIZACION</t>
  </si>
  <si>
    <t>PRECIO SUCIO / Vr Nominal Actual</t>
  </si>
  <si>
    <t>Vp*t</t>
  </si>
  <si>
    <t>Mod. Dur</t>
  </si>
  <si>
    <t>dur.mcaulay</t>
  </si>
  <si>
    <t>Duración Modificada</t>
  </si>
  <si>
    <t>TECH 2009</t>
  </si>
  <si>
    <t>TECH 2011</t>
  </si>
  <si>
    <t>TECH-2009</t>
  </si>
  <si>
    <t>TECH-2011</t>
  </si>
  <si>
    <t>Mes # INICIAL</t>
  </si>
  <si>
    <t>Mes # ACTUAL</t>
  </si>
  <si>
    <t>RESTANTE</t>
  </si>
  <si>
    <t>INICIAL</t>
  </si>
  <si>
    <t>ACTUAL</t>
  </si>
  <si>
    <t>Vida Promedio desde Emisión</t>
  </si>
  <si>
    <t>Duración Macaulay</t>
  </si>
  <si>
    <t>CALCULADORA PRECIO CON PREPAGOS TECH E-2</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</si>
</sst>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quot;pta&quot;_-;\-* #,##0\ &quot;pta&quot;_-;_-* &quot;-&quot;\ &quot;pta&quot;_-;_-@_-"/>
    <numFmt numFmtId="165" formatCode="_-* #,##0\ _p_t_a_-;\-* #,##0\ _p_t_a_-;_-* &quot;-&quot;\ _p_t_a_-;_-@_-"/>
    <numFmt numFmtId="166" formatCode="_-* #,##0.00\ &quot;pta&quot;_-;\-* #,##0.00\ &quot;pta&quot;_-;_-* &quot;-&quot;??\ &quot;pta&quot;_-;_-@_-"/>
    <numFmt numFmtId="167" formatCode="_-* #,##0.00\ _p_t_a_-;\-* #,##0.00\ _p_t_a_-;_-* &quot;-&quot;??\ _p_t_a_-;_-@_-"/>
    <numFmt numFmtId="168" formatCode="0.00000%"/>
    <numFmt numFmtId="169" formatCode="0.000%"/>
    <numFmt numFmtId="170" formatCode="_ * #,##0_ ;_ * \-#,##0_ ;_ * &quot;-&quot;??_ ;_ @_ "/>
    <numFmt numFmtId="171" formatCode="#,##0.00_ ;\-#,##0.00\ "/>
    <numFmt numFmtId="172" formatCode="0.0000"/>
    <numFmt numFmtId="173" formatCode="0.00_ ;[Red]\-0.00\ "/>
    <numFmt numFmtId="174" formatCode="0.000000000000000000_ ;[Red]\-0.000000000000000000\ "/>
    <numFmt numFmtId="175" formatCode="0.000"/>
    <numFmt numFmtId="176" formatCode="0.00000"/>
    <numFmt numFmtId="177" formatCode="#,##0.000"/>
    <numFmt numFmtId="178" formatCode="0.000000000%"/>
    <numFmt numFmtId="179" formatCode="0.0000000%"/>
    <numFmt numFmtId="180" formatCode="0.0000%"/>
    <numFmt numFmtId="181" formatCode="_-* #,##0\ _p_t_a_-;\-* #,##0\ _p_t_a_-;_-* &quot;-&quot;??\ _p_t_a_-;_-@_-"/>
    <numFmt numFmtId="182" formatCode="0.000000%"/>
    <numFmt numFmtId="183" formatCode="_-* #,##0.000\ _p_t_a_-;\-* #,##0.000\ _p_t_a_-;_-* &quot;-&quot;??\ _p_t_a_-;_-@_-"/>
    <numFmt numFmtId="184" formatCode="0.0"/>
  </numFmts>
  <fonts count="17">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2"/>
      <name val="Arial"/>
      <family val="0"/>
    </font>
    <font>
      <sz val="12"/>
      <color indexed="18"/>
      <name val="Arial"/>
      <family val="0"/>
    </font>
    <font>
      <b/>
      <sz val="12"/>
      <color indexed="22"/>
      <name val="Arial"/>
      <family val="0"/>
    </font>
    <font>
      <b/>
      <sz val="12"/>
      <color indexed="10"/>
      <name val="Arial"/>
      <family val="0"/>
    </font>
    <font>
      <b/>
      <sz val="12"/>
      <color indexed="18"/>
      <name val="Arial"/>
      <family val="0"/>
    </font>
    <font>
      <sz val="12"/>
      <color indexed="16"/>
      <name val="Arial"/>
      <family val="0"/>
    </font>
    <font>
      <b/>
      <sz val="12"/>
      <color indexed="9"/>
      <name val="Arial"/>
      <family val="0"/>
    </font>
    <font>
      <sz val="12"/>
      <color indexed="62"/>
      <name val="Arial"/>
      <family val="0"/>
    </font>
    <font>
      <b/>
      <sz val="12"/>
      <color indexed="62"/>
      <name val="Arial"/>
      <family val="0"/>
    </font>
    <font>
      <b/>
      <sz val="12"/>
      <color indexed="8"/>
      <name val="Arial"/>
      <family val="0"/>
    </font>
    <font>
      <b/>
      <sz val="20"/>
      <color indexed="8"/>
      <name val="Arial"/>
      <family val="2"/>
    </font>
    <font>
      <b/>
      <sz val="12"/>
      <name val="Arial"/>
      <family val="2"/>
    </font>
  </fonts>
  <fills count="7">
    <fill>
      <patternFill/>
    </fill>
    <fill>
      <patternFill patternType="gray125"/>
    </fill>
    <fill>
      <patternFill patternType="solid">
        <fgColor indexed="41"/>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25">
    <border>
      <left/>
      <right/>
      <top/>
      <bottom/>
      <diagonal/>
    </border>
    <border>
      <left style="medium"/>
      <right style="medium"/>
      <top style="medium"/>
      <bottom>
        <color indexed="63"/>
      </bottom>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2" fontId="0" fillId="0" borderId="0" xfId="0" applyNumberFormat="1" applyAlignment="1" applyProtection="1">
      <alignment/>
      <protection hidden="1"/>
    </xf>
    <xf numFmtId="171" fontId="0" fillId="0" borderId="0" xfId="0" applyNumberFormat="1" applyAlignment="1" applyProtection="1">
      <alignment/>
      <protection hidden="1"/>
    </xf>
    <xf numFmtId="174" fontId="0" fillId="0" borderId="0" xfId="0" applyNumberForma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wrapText="1"/>
      <protection hidden="1"/>
    </xf>
    <xf numFmtId="2" fontId="0" fillId="0" borderId="0" xfId="21" applyNumberFormat="1" applyFont="1" applyFill="1" applyBorder="1" applyAlignment="1" applyProtection="1">
      <alignment wrapText="1"/>
      <protection hidden="1"/>
    </xf>
    <xf numFmtId="168" fontId="0" fillId="0" borderId="0" xfId="21" applyNumberFormat="1" applyFont="1" applyFill="1" applyBorder="1" applyAlignment="1" applyProtection="1">
      <alignment wrapText="1"/>
      <protection hidden="1"/>
    </xf>
    <xf numFmtId="14" fontId="0" fillId="0" borderId="0" xfId="0" applyNumberFormat="1" applyFont="1" applyAlignment="1" applyProtection="1">
      <alignment/>
      <protection hidden="1"/>
    </xf>
    <xf numFmtId="168" fontId="0" fillId="0" borderId="0" xfId="21" applyNumberFormat="1" applyAlignment="1" applyProtection="1">
      <alignment/>
      <protection hidden="1"/>
    </xf>
    <xf numFmtId="171" fontId="0" fillId="0" borderId="0" xfId="18" applyNumberFormat="1" applyAlignment="1" applyProtection="1">
      <alignment/>
      <protection hidden="1"/>
    </xf>
    <xf numFmtId="172" fontId="0" fillId="0" borderId="0" xfId="0" applyNumberFormat="1" applyAlignment="1" applyProtection="1">
      <alignment/>
      <protection hidden="1"/>
    </xf>
    <xf numFmtId="0" fontId="0" fillId="0" borderId="0" xfId="0" applyFont="1" applyAlignment="1" applyProtection="1">
      <alignment/>
      <protection hidden="1"/>
    </xf>
    <xf numFmtId="14" fontId="0" fillId="0" borderId="0" xfId="0" applyNumberFormat="1" applyAlignment="1" applyProtection="1">
      <alignment/>
      <protection hidden="1"/>
    </xf>
    <xf numFmtId="0" fontId="0" fillId="0" borderId="0" xfId="0" applyFill="1" applyAlignment="1" applyProtection="1">
      <alignment/>
      <protection hidden="1"/>
    </xf>
    <xf numFmtId="0" fontId="0" fillId="0" borderId="0" xfId="0" applyFont="1" applyFill="1" applyAlignment="1" applyProtection="1">
      <alignment/>
      <protection hidden="1"/>
    </xf>
    <xf numFmtId="1" fontId="0" fillId="0" borderId="0" xfId="21" applyNumberFormat="1" applyFont="1" applyFill="1" applyBorder="1" applyAlignment="1" applyProtection="1">
      <alignment/>
      <protection hidden="1"/>
    </xf>
    <xf numFmtId="2" fontId="0" fillId="2" borderId="0" xfId="0" applyNumberFormat="1" applyFill="1" applyAlignment="1" applyProtection="1">
      <alignment/>
      <protection hidden="1"/>
    </xf>
    <xf numFmtId="14" fontId="0" fillId="0" borderId="0" xfId="0" applyNumberFormat="1" applyFill="1" applyAlignment="1" applyProtection="1">
      <alignment/>
      <protection hidden="1"/>
    </xf>
    <xf numFmtId="0" fontId="5" fillId="3" borderId="0" xfId="0" applyFont="1" applyFill="1" applyAlignment="1">
      <alignment/>
    </xf>
    <xf numFmtId="0" fontId="6" fillId="3" borderId="0" xfId="0" applyFont="1" applyFill="1" applyAlignment="1">
      <alignment/>
    </xf>
    <xf numFmtId="0" fontId="5" fillId="4" borderId="0" xfId="0" applyFont="1" applyFill="1" applyAlignment="1">
      <alignment/>
    </xf>
    <xf numFmtId="0" fontId="5" fillId="3" borderId="0" xfId="0" applyFont="1" applyFill="1" applyBorder="1" applyAlignment="1">
      <alignment/>
    </xf>
    <xf numFmtId="0" fontId="5" fillId="4" borderId="0" xfId="0" applyFont="1" applyFill="1" applyBorder="1" applyAlignment="1">
      <alignment/>
    </xf>
    <xf numFmtId="0" fontId="11" fillId="4" borderId="0" xfId="0" applyFont="1" applyFill="1" applyBorder="1" applyAlignment="1" applyProtection="1">
      <alignment horizontal="left"/>
      <protection hidden="1"/>
    </xf>
    <xf numFmtId="10" fontId="9" fillId="4" borderId="1" xfId="21" applyNumberFormat="1" applyFont="1" applyFill="1" applyBorder="1" applyAlignment="1" applyProtection="1">
      <alignment/>
      <protection locked="0"/>
    </xf>
    <xf numFmtId="2" fontId="6" fillId="4" borderId="2" xfId="0" applyNumberFormat="1" applyFont="1" applyFill="1" applyBorder="1" applyAlignment="1">
      <alignment/>
    </xf>
    <xf numFmtId="2" fontId="9" fillId="4" borderId="3" xfId="0" applyNumberFormat="1" applyFont="1" applyFill="1" applyBorder="1" applyAlignment="1">
      <alignment/>
    </xf>
    <xf numFmtId="2" fontId="9" fillId="4" borderId="4" xfId="0" applyNumberFormat="1" applyFont="1" applyFill="1" applyBorder="1" applyAlignment="1">
      <alignment/>
    </xf>
    <xf numFmtId="2" fontId="9" fillId="4" borderId="5" xfId="0" applyNumberFormat="1" applyFont="1" applyFill="1" applyBorder="1" applyAlignment="1">
      <alignment/>
    </xf>
    <xf numFmtId="0" fontId="7" fillId="4" borderId="0" xfId="0" applyFont="1" applyFill="1" applyBorder="1" applyAlignment="1">
      <alignment/>
    </xf>
    <xf numFmtId="0" fontId="5" fillId="3" borderId="0" xfId="0" applyFont="1" applyFill="1" applyBorder="1" applyAlignment="1">
      <alignment wrapText="1"/>
    </xf>
    <xf numFmtId="0" fontId="5" fillId="4" borderId="0" xfId="0" applyFont="1" applyFill="1" applyBorder="1" applyAlignment="1">
      <alignment wrapText="1"/>
    </xf>
    <xf numFmtId="10" fontId="8" fillId="4" borderId="6" xfId="21" applyNumberFormat="1" applyFont="1" applyFill="1" applyBorder="1" applyAlignment="1" applyProtection="1">
      <alignment horizontal="center"/>
      <protection locked="0"/>
    </xf>
    <xf numFmtId="0" fontId="7" fillId="4" borderId="0" xfId="0" applyFont="1" applyFill="1" applyBorder="1" applyAlignment="1">
      <alignment wrapText="1"/>
    </xf>
    <xf numFmtId="4" fontId="12" fillId="4" borderId="0" xfId="0" applyNumberFormat="1" applyFont="1" applyFill="1" applyBorder="1" applyAlignment="1">
      <alignment/>
    </xf>
    <xf numFmtId="9" fontId="5" fillId="4" borderId="0" xfId="21" applyFont="1" applyFill="1" applyAlignment="1">
      <alignment/>
    </xf>
    <xf numFmtId="178" fontId="5" fillId="4" borderId="0" xfId="0" applyNumberFormat="1" applyFont="1" applyFill="1" applyAlignment="1">
      <alignment/>
    </xf>
    <xf numFmtId="10" fontId="5" fillId="4" borderId="0" xfId="21" applyNumberFormat="1" applyFont="1" applyFill="1" applyBorder="1" applyAlignment="1">
      <alignment/>
    </xf>
    <xf numFmtId="170" fontId="5" fillId="4" borderId="0" xfId="17" applyNumberFormat="1" applyFont="1" applyFill="1" applyBorder="1" applyAlignment="1">
      <alignment/>
    </xf>
    <xf numFmtId="168" fontId="5" fillId="4" borderId="0" xfId="0" applyNumberFormat="1" applyFont="1" applyFill="1" applyAlignment="1">
      <alignment/>
    </xf>
    <xf numFmtId="0" fontId="11" fillId="3" borderId="1" xfId="0" applyFont="1" applyFill="1" applyBorder="1" applyAlignment="1">
      <alignment/>
    </xf>
    <xf numFmtId="0" fontId="11" fillId="3" borderId="7" xfId="0" applyFont="1" applyFill="1" applyBorder="1" applyAlignment="1">
      <alignment/>
    </xf>
    <xf numFmtId="0" fontId="11" fillId="3" borderId="8" xfId="0" applyFont="1" applyFill="1" applyBorder="1" applyAlignment="1">
      <alignment/>
    </xf>
    <xf numFmtId="0" fontId="11" fillId="3" borderId="6" xfId="0" applyFont="1" applyFill="1" applyBorder="1" applyAlignment="1">
      <alignment horizontal="center"/>
    </xf>
    <xf numFmtId="0" fontId="11" fillId="3" borderId="9" xfId="0" applyFont="1" applyFill="1" applyBorder="1" applyAlignment="1">
      <alignment horizontal="center"/>
    </xf>
    <xf numFmtId="0" fontId="14" fillId="4" borderId="0" xfId="0" applyFont="1" applyFill="1" applyBorder="1" applyAlignment="1">
      <alignment/>
    </xf>
    <xf numFmtId="0" fontId="11" fillId="3" borderId="7" xfId="0" applyFont="1" applyFill="1" applyBorder="1" applyAlignment="1">
      <alignment horizontal="left"/>
    </xf>
    <xf numFmtId="0" fontId="11" fillId="3" borderId="10" xfId="0" applyFont="1" applyFill="1" applyBorder="1" applyAlignment="1">
      <alignment horizontal="center"/>
    </xf>
    <xf numFmtId="0" fontId="8" fillId="4" borderId="0" xfId="0" applyFont="1" applyFill="1" applyAlignment="1">
      <alignment horizontal="left" vertical="center"/>
    </xf>
    <xf numFmtId="175" fontId="9" fillId="4" borderId="6" xfId="0" applyNumberFormat="1" applyFont="1" applyFill="1" applyBorder="1" applyAlignment="1">
      <alignment horizontal="center"/>
    </xf>
    <xf numFmtId="169" fontId="0" fillId="0" borderId="0" xfId="21" applyNumberFormat="1" applyAlignment="1" applyProtection="1">
      <alignment/>
      <protection hidden="1"/>
    </xf>
    <xf numFmtId="179" fontId="6" fillId="4" borderId="7" xfId="21" applyNumberFormat="1" applyFont="1" applyFill="1" applyBorder="1" applyAlignment="1" applyProtection="1">
      <alignment horizontal="center"/>
      <protection/>
    </xf>
    <xf numFmtId="179" fontId="6" fillId="4" borderId="8" xfId="21" applyNumberFormat="1" applyFont="1" applyFill="1" applyBorder="1" applyAlignment="1" applyProtection="1">
      <alignment horizontal="center"/>
      <protection/>
    </xf>
    <xf numFmtId="179" fontId="6" fillId="4" borderId="1" xfId="21" applyNumberFormat="1" applyFont="1" applyFill="1" applyBorder="1" applyAlignment="1" applyProtection="1">
      <alignment horizontal="center"/>
      <protection/>
    </xf>
    <xf numFmtId="0" fontId="0" fillId="0" borderId="11" xfId="0" applyFont="1" applyBorder="1" applyAlignment="1" applyProtection="1">
      <alignment/>
      <protection hidden="1"/>
    </xf>
    <xf numFmtId="2" fontId="1" fillId="0" borderId="12" xfId="21" applyNumberFormat="1" applyFont="1" applyFill="1" applyBorder="1" applyAlignment="1" applyProtection="1">
      <alignment/>
      <protection hidden="1"/>
    </xf>
    <xf numFmtId="0" fontId="0" fillId="0" borderId="12" xfId="0" applyBorder="1" applyAlignment="1" applyProtection="1">
      <alignment/>
      <protection hidden="1"/>
    </xf>
    <xf numFmtId="168" fontId="1" fillId="0" borderId="12" xfId="21" applyNumberFormat="1" applyFont="1" applyFill="1" applyBorder="1" applyAlignment="1" applyProtection="1">
      <alignment/>
      <protection hidden="1"/>
    </xf>
    <xf numFmtId="168" fontId="1" fillId="0" borderId="13" xfId="21" applyNumberFormat="1" applyFont="1" applyFill="1" applyBorder="1" applyAlignment="1" applyProtection="1">
      <alignment/>
      <protection hidden="1"/>
    </xf>
    <xf numFmtId="168" fontId="0" fillId="0" borderId="14" xfId="21" applyNumberFormat="1" applyFont="1" applyFill="1" applyBorder="1" applyAlignment="1" applyProtection="1">
      <alignment wrapText="1"/>
      <protection hidden="1"/>
    </xf>
    <xf numFmtId="168" fontId="0" fillId="0" borderId="15" xfId="21" applyNumberFormat="1" applyFont="1" applyFill="1" applyBorder="1" applyAlignment="1" applyProtection="1">
      <alignment wrapText="1"/>
      <protection hidden="1"/>
    </xf>
    <xf numFmtId="168" fontId="0" fillId="0" borderId="14" xfId="21" applyNumberFormat="1" applyFont="1" applyFill="1" applyBorder="1" applyAlignment="1" applyProtection="1">
      <alignment/>
      <protection hidden="1"/>
    </xf>
    <xf numFmtId="168" fontId="1" fillId="0" borderId="11" xfId="21" applyNumberFormat="1" applyFont="1" applyFill="1" applyBorder="1" applyAlignment="1" applyProtection="1">
      <alignment/>
      <protection hidden="1"/>
    </xf>
    <xf numFmtId="0" fontId="0" fillId="0" borderId="14" xfId="0" applyBorder="1" applyAlignment="1" applyProtection="1">
      <alignment/>
      <protection hidden="1"/>
    </xf>
    <xf numFmtId="173" fontId="0" fillId="0" borderId="14" xfId="0" applyNumberFormat="1" applyFill="1" applyBorder="1" applyAlignment="1" applyProtection="1">
      <alignment/>
      <protection hidden="1"/>
    </xf>
    <xf numFmtId="0" fontId="0" fillId="0" borderId="14" xfId="0" applyFill="1" applyBorder="1" applyAlignment="1" applyProtection="1">
      <alignment/>
      <protection hidden="1"/>
    </xf>
    <xf numFmtId="168" fontId="11" fillId="3" borderId="6" xfId="21" applyNumberFormat="1" applyFont="1" applyFill="1" applyBorder="1" applyAlignment="1">
      <alignment horizontal="center"/>
    </xf>
    <xf numFmtId="180" fontId="12" fillId="4" borderId="7" xfId="21" applyNumberFormat="1" applyFont="1" applyFill="1" applyBorder="1" applyAlignment="1">
      <alignment/>
    </xf>
    <xf numFmtId="175" fontId="8" fillId="5" borderId="6" xfId="0" applyNumberFormat="1" applyFont="1" applyFill="1" applyBorder="1" applyAlignment="1">
      <alignment horizontal="center"/>
    </xf>
    <xf numFmtId="0" fontId="11" fillId="3" borderId="8" xfId="0" applyFont="1" applyFill="1" applyBorder="1" applyAlignment="1">
      <alignment wrapText="1"/>
    </xf>
    <xf numFmtId="167" fontId="0" fillId="0" borderId="0" xfId="17" applyFont="1" applyFill="1" applyBorder="1" applyAlignment="1" applyProtection="1">
      <alignment/>
      <protection hidden="1"/>
    </xf>
    <xf numFmtId="167" fontId="0" fillId="0" borderId="0" xfId="17" applyBorder="1" applyAlignment="1" applyProtection="1">
      <alignment/>
      <protection hidden="1"/>
    </xf>
    <xf numFmtId="167" fontId="0" fillId="0" borderId="0" xfId="17" applyFill="1" applyBorder="1" applyAlignment="1" applyProtection="1">
      <alignment/>
      <protection hidden="1"/>
    </xf>
    <xf numFmtId="167" fontId="0" fillId="0" borderId="0" xfId="17" applyBorder="1" applyAlignment="1" applyProtection="1">
      <alignment horizontal="right"/>
      <protection hidden="1"/>
    </xf>
    <xf numFmtId="167" fontId="0" fillId="0" borderId="0" xfId="17" applyFont="1" applyFill="1" applyBorder="1" applyAlignment="1" applyProtection="1">
      <alignment horizontal="right"/>
      <protection hidden="1"/>
    </xf>
    <xf numFmtId="167" fontId="0" fillId="0" borderId="15" xfId="17" applyBorder="1" applyAlignment="1" applyProtection="1">
      <alignment horizontal="right"/>
      <protection hidden="1"/>
    </xf>
    <xf numFmtId="167" fontId="0" fillId="0" borderId="0" xfId="17" applyFill="1" applyBorder="1" applyAlignment="1" applyProtection="1">
      <alignment horizontal="right"/>
      <protection hidden="1"/>
    </xf>
    <xf numFmtId="168" fontId="0" fillId="0" borderId="0" xfId="21" applyNumberFormat="1" applyBorder="1" applyAlignment="1" applyProtection="1">
      <alignment/>
      <protection hidden="1"/>
    </xf>
    <xf numFmtId="168" fontId="0" fillId="0" borderId="0" xfId="21" applyNumberFormat="1" applyFill="1" applyBorder="1" applyAlignment="1" applyProtection="1">
      <alignment/>
      <protection hidden="1"/>
    </xf>
    <xf numFmtId="181" fontId="0" fillId="0" borderId="14" xfId="17" applyNumberFormat="1" applyFont="1" applyFill="1" applyBorder="1" applyAlignment="1" applyProtection="1">
      <alignment/>
      <protection hidden="1"/>
    </xf>
    <xf numFmtId="182" fontId="0" fillId="0" borderId="0" xfId="21" applyNumberFormat="1" applyBorder="1" applyAlignment="1" applyProtection="1">
      <alignment/>
      <protection hidden="1"/>
    </xf>
    <xf numFmtId="182" fontId="0" fillId="0" borderId="0" xfId="21" applyNumberFormat="1" applyFill="1" applyBorder="1" applyAlignment="1" applyProtection="1">
      <alignment/>
      <protection hidden="1"/>
    </xf>
    <xf numFmtId="177" fontId="9" fillId="4" borderId="9" xfId="0" applyNumberFormat="1" applyFont="1" applyFill="1" applyBorder="1" applyAlignment="1">
      <alignment horizontal="center"/>
    </xf>
    <xf numFmtId="180" fontId="12" fillId="4" borderId="8" xfId="21" applyNumberFormat="1" applyFont="1" applyFill="1" applyBorder="1" applyAlignment="1">
      <alignment/>
    </xf>
    <xf numFmtId="0" fontId="5" fillId="4" borderId="0" xfId="0" applyFont="1" applyFill="1" applyBorder="1" applyAlignment="1">
      <alignment/>
    </xf>
    <xf numFmtId="0" fontId="15" fillId="4" borderId="0" xfId="0" applyFont="1" applyFill="1" applyAlignment="1">
      <alignment vertical="center"/>
    </xf>
    <xf numFmtId="10" fontId="8" fillId="4" borderId="9" xfId="21" applyNumberFormat="1" applyFont="1" applyFill="1" applyBorder="1" applyAlignment="1" applyProtection="1">
      <alignment horizontal="center"/>
      <protection locked="0"/>
    </xf>
    <xf numFmtId="0" fontId="15" fillId="3" borderId="0" xfId="0" applyFont="1" applyFill="1" applyAlignment="1">
      <alignment vertical="center"/>
    </xf>
    <xf numFmtId="179" fontId="5" fillId="4" borderId="0" xfId="0" applyNumberFormat="1" applyFont="1" applyFill="1" applyBorder="1" applyAlignment="1">
      <alignment/>
    </xf>
    <xf numFmtId="167" fontId="0" fillId="0" borderId="0" xfId="0" applyNumberFormat="1" applyAlignment="1" applyProtection="1">
      <alignment/>
      <protection hidden="1"/>
    </xf>
    <xf numFmtId="43" fontId="0" fillId="0" borderId="0" xfId="0" applyNumberFormat="1" applyAlignment="1" applyProtection="1">
      <alignment/>
      <protection hidden="1"/>
    </xf>
    <xf numFmtId="168" fontId="1" fillId="0" borderId="1" xfId="21" applyNumberFormat="1" applyFont="1" applyFill="1" applyBorder="1" applyAlignment="1" applyProtection="1">
      <alignment/>
      <protection hidden="1"/>
    </xf>
    <xf numFmtId="168" fontId="0" fillId="0" borderId="7" xfId="21" applyNumberFormat="1" applyFont="1" applyFill="1" applyBorder="1" applyAlignment="1" applyProtection="1">
      <alignment wrapText="1"/>
      <protection hidden="1"/>
    </xf>
    <xf numFmtId="167" fontId="0" fillId="0" borderId="7" xfId="17" applyBorder="1" applyAlignment="1" applyProtection="1">
      <alignment horizontal="right"/>
      <protection hidden="1"/>
    </xf>
    <xf numFmtId="167" fontId="5" fillId="4" borderId="0" xfId="17" applyFont="1" applyFill="1" applyBorder="1" applyAlignment="1">
      <alignment/>
    </xf>
    <xf numFmtId="2" fontId="6" fillId="4" borderId="16" xfId="0" applyNumberFormat="1" applyFont="1" applyFill="1" applyBorder="1" applyAlignment="1">
      <alignment/>
    </xf>
    <xf numFmtId="14" fontId="13" fillId="4" borderId="17" xfId="0" applyNumberFormat="1" applyFont="1" applyFill="1" applyBorder="1" applyAlignment="1" applyProtection="1">
      <alignment/>
      <protection locked="0"/>
    </xf>
    <xf numFmtId="14" fontId="9" fillId="4" borderId="2" xfId="0" applyNumberFormat="1" applyFont="1" applyFill="1" applyBorder="1" applyAlignment="1" applyProtection="1">
      <alignment/>
      <protection hidden="1"/>
    </xf>
    <xf numFmtId="14" fontId="5" fillId="4" borderId="18" xfId="18" applyNumberFormat="1" applyFont="1" applyFill="1" applyBorder="1" applyAlignment="1">
      <alignment/>
    </xf>
    <xf numFmtId="14" fontId="10" fillId="4" borderId="19" xfId="0" applyNumberFormat="1" applyFont="1" applyFill="1" applyBorder="1" applyAlignment="1" applyProtection="1">
      <alignment/>
      <protection locked="0"/>
    </xf>
    <xf numFmtId="0" fontId="11" fillId="3" borderId="14" xfId="0" applyFont="1" applyFill="1" applyBorder="1" applyAlignment="1">
      <alignment horizontal="left"/>
    </xf>
    <xf numFmtId="0" fontId="11" fillId="3" borderId="15" xfId="0" applyFont="1" applyFill="1" applyBorder="1" applyAlignment="1">
      <alignment horizontal="left"/>
    </xf>
    <xf numFmtId="0" fontId="11" fillId="3" borderId="20" xfId="0" applyFont="1" applyFill="1" applyBorder="1" applyAlignment="1" applyProtection="1">
      <alignment horizontal="left"/>
      <protection hidden="1"/>
    </xf>
    <xf numFmtId="0" fontId="11" fillId="3" borderId="21" xfId="0" applyFont="1" applyFill="1" applyBorder="1" applyAlignment="1" applyProtection="1">
      <alignment horizontal="left"/>
      <protection hidden="1"/>
    </xf>
    <xf numFmtId="14" fontId="0" fillId="6" borderId="0" xfId="0" applyNumberFormat="1" applyFill="1" applyAlignment="1" applyProtection="1">
      <alignment/>
      <protection hidden="1"/>
    </xf>
    <xf numFmtId="181" fontId="0" fillId="6" borderId="14" xfId="17" applyNumberFormat="1" applyFont="1" applyFill="1" applyBorder="1" applyAlignment="1" applyProtection="1">
      <alignment/>
      <protection hidden="1"/>
    </xf>
    <xf numFmtId="182" fontId="0" fillId="6" borderId="0" xfId="21" applyNumberFormat="1" applyFill="1" applyBorder="1" applyAlignment="1" applyProtection="1">
      <alignment/>
      <protection hidden="1"/>
    </xf>
    <xf numFmtId="167" fontId="0" fillId="6" borderId="0" xfId="17" applyFill="1" applyBorder="1" applyAlignment="1" applyProtection="1">
      <alignment/>
      <protection hidden="1"/>
    </xf>
    <xf numFmtId="167" fontId="0" fillId="6" borderId="0" xfId="17" applyFill="1" applyBorder="1" applyAlignment="1" applyProtection="1">
      <alignment horizontal="right"/>
      <protection hidden="1"/>
    </xf>
    <xf numFmtId="167" fontId="0" fillId="6" borderId="0" xfId="17" applyFont="1" applyFill="1" applyBorder="1" applyAlignment="1" applyProtection="1">
      <alignment horizontal="right"/>
      <protection hidden="1"/>
    </xf>
    <xf numFmtId="167" fontId="0" fillId="6" borderId="15" xfId="17" applyFill="1" applyBorder="1" applyAlignment="1" applyProtection="1">
      <alignment horizontal="right"/>
      <protection hidden="1"/>
    </xf>
    <xf numFmtId="168" fontId="0" fillId="6" borderId="0" xfId="21" applyNumberFormat="1" applyFill="1" applyBorder="1" applyAlignment="1" applyProtection="1">
      <alignment/>
      <protection hidden="1"/>
    </xf>
    <xf numFmtId="167" fontId="0" fillId="6" borderId="7" xfId="17" applyFill="1" applyBorder="1" applyAlignment="1" applyProtection="1">
      <alignment horizontal="right"/>
      <protection hidden="1"/>
    </xf>
    <xf numFmtId="0" fontId="0" fillId="6" borderId="0" xfId="0" applyFill="1" applyAlignment="1" applyProtection="1">
      <alignment/>
      <protection hidden="1"/>
    </xf>
    <xf numFmtId="0" fontId="0" fillId="6" borderId="0" xfId="0" applyFont="1" applyFill="1" applyAlignment="1" applyProtection="1">
      <alignment/>
      <protection hidden="1"/>
    </xf>
    <xf numFmtId="0" fontId="11" fillId="3" borderId="11" xfId="0" applyFont="1" applyFill="1" applyBorder="1" applyAlignment="1">
      <alignment horizontal="center"/>
    </xf>
    <xf numFmtId="167" fontId="0" fillId="0" borderId="15" xfId="17" applyFill="1" applyBorder="1" applyAlignment="1" applyProtection="1">
      <alignment horizontal="right"/>
      <protection hidden="1"/>
    </xf>
    <xf numFmtId="167" fontId="0" fillId="0" borderId="7" xfId="17" applyFill="1" applyBorder="1" applyAlignment="1" applyProtection="1">
      <alignment horizontal="right"/>
      <protection hidden="1"/>
    </xf>
    <xf numFmtId="0" fontId="0" fillId="0" borderId="0" xfId="0" applyFont="1" applyFill="1" applyAlignment="1" applyProtection="1">
      <alignment wrapText="1"/>
      <protection hidden="1"/>
    </xf>
    <xf numFmtId="181" fontId="0" fillId="0" borderId="0" xfId="17" applyNumberFormat="1" applyFont="1" applyFill="1" applyBorder="1" applyAlignment="1" applyProtection="1">
      <alignment/>
      <protection hidden="1"/>
    </xf>
    <xf numFmtId="0" fontId="0" fillId="0" borderId="0" xfId="0" applyFill="1" applyBorder="1" applyAlignment="1" applyProtection="1">
      <alignment/>
      <protection hidden="1"/>
    </xf>
    <xf numFmtId="0" fontId="0" fillId="6" borderId="14" xfId="0" applyFill="1" applyBorder="1" applyAlignment="1" applyProtection="1">
      <alignment/>
      <protection hidden="1"/>
    </xf>
    <xf numFmtId="0" fontId="11" fillId="3" borderId="22" xfId="0" applyFont="1" applyFill="1" applyBorder="1" applyAlignment="1">
      <alignment horizontal="center"/>
    </xf>
    <xf numFmtId="0" fontId="11" fillId="3" borderId="21" xfId="0" applyFont="1" applyFill="1" applyBorder="1" applyAlignment="1">
      <alignment horizontal="center"/>
    </xf>
    <xf numFmtId="0" fontId="11" fillId="3" borderId="8" xfId="0" applyFont="1" applyFill="1" applyBorder="1" applyAlignment="1">
      <alignment horizontal="left"/>
    </xf>
    <xf numFmtId="0" fontId="11" fillId="3" borderId="14" xfId="0" applyFont="1" applyFill="1" applyBorder="1" applyAlignment="1">
      <alignment horizontal="center"/>
    </xf>
    <xf numFmtId="0" fontId="0" fillId="2" borderId="0" xfId="0" applyFont="1" applyFill="1" applyAlignment="1" applyProtection="1">
      <alignment wrapText="1"/>
      <protection hidden="1"/>
    </xf>
    <xf numFmtId="182" fontId="0" fillId="2" borderId="0" xfId="21" applyNumberFormat="1" applyFont="1" applyFill="1" applyBorder="1" applyAlignment="1" applyProtection="1">
      <alignment/>
      <protection hidden="1"/>
    </xf>
    <xf numFmtId="2" fontId="0" fillId="2" borderId="0" xfId="0" applyNumberFormat="1" applyFont="1" applyFill="1" applyAlignment="1" applyProtection="1">
      <alignment/>
      <protection hidden="1"/>
    </xf>
    <xf numFmtId="2" fontId="0" fillId="0" borderId="0" xfId="0" applyNumberFormat="1" applyFill="1" applyAlignment="1" applyProtection="1">
      <alignment/>
      <protection hidden="1"/>
    </xf>
    <xf numFmtId="165" fontId="0" fillId="0" borderId="0" xfId="18" applyFill="1" applyAlignment="1" applyProtection="1">
      <alignment/>
      <protection hidden="1"/>
    </xf>
    <xf numFmtId="0" fontId="0" fillId="0" borderId="0" xfId="0" applyBorder="1" applyAlignment="1" applyProtection="1">
      <alignment/>
      <protection hidden="1"/>
    </xf>
    <xf numFmtId="1" fontId="0" fillId="0" borderId="0" xfId="0" applyNumberFormat="1" applyFill="1" applyAlignment="1" applyProtection="1">
      <alignment/>
      <protection hidden="1"/>
    </xf>
    <xf numFmtId="172" fontId="0" fillId="0" borderId="0" xfId="0" applyNumberFormat="1" applyFill="1" applyAlignment="1" applyProtection="1">
      <alignment/>
      <protection hidden="1"/>
    </xf>
    <xf numFmtId="175" fontId="0" fillId="0" borderId="0" xfId="21" applyNumberFormat="1" applyFont="1" applyFill="1" applyBorder="1" applyAlignment="1" applyProtection="1">
      <alignment/>
      <protection hidden="1"/>
    </xf>
    <xf numFmtId="14" fontId="6" fillId="4" borderId="11" xfId="21" applyNumberFormat="1" applyFont="1" applyFill="1" applyBorder="1" applyAlignment="1" applyProtection="1">
      <alignment horizontal="center"/>
      <protection/>
    </xf>
    <xf numFmtId="14" fontId="6" fillId="4" borderId="14" xfId="21" applyNumberFormat="1" applyFont="1" applyFill="1" applyBorder="1" applyAlignment="1" applyProtection="1">
      <alignment horizontal="center"/>
      <protection/>
    </xf>
    <xf numFmtId="14" fontId="6" fillId="4" borderId="20" xfId="21" applyNumberFormat="1" applyFont="1" applyFill="1" applyBorder="1" applyAlignment="1" applyProtection="1">
      <alignment horizontal="center"/>
      <protection/>
    </xf>
    <xf numFmtId="0" fontId="11" fillId="3" borderId="1" xfId="0" applyFont="1" applyFill="1" applyBorder="1" applyAlignment="1">
      <alignment horizontal="center"/>
    </xf>
    <xf numFmtId="0" fontId="11" fillId="3" borderId="23" xfId="0" applyFont="1" applyFill="1" applyBorder="1" applyAlignment="1">
      <alignment horizontal="center"/>
    </xf>
    <xf numFmtId="0" fontId="11" fillId="3" borderId="9" xfId="0" applyFont="1" applyFill="1" applyBorder="1" applyAlignment="1">
      <alignment horizontal="center"/>
    </xf>
    <xf numFmtId="0" fontId="0" fillId="4" borderId="0" xfId="0" applyNumberFormat="1" applyFont="1" applyFill="1" applyAlignment="1">
      <alignment horizontal="justify" vertical="justify" wrapText="1"/>
    </xf>
    <xf numFmtId="0" fontId="11" fillId="3" borderId="11" xfId="0" applyFont="1" applyFill="1" applyBorder="1" applyAlignment="1">
      <alignment horizontal="left"/>
    </xf>
    <xf numFmtId="0" fontId="11" fillId="3" borderId="13" xfId="0" applyFont="1" applyFill="1" applyBorder="1" applyAlignment="1">
      <alignment horizontal="left"/>
    </xf>
    <xf numFmtId="0" fontId="16" fillId="4" borderId="0" xfId="0" applyFont="1" applyFill="1" applyBorder="1" applyAlignment="1">
      <alignment horizontal="center"/>
    </xf>
    <xf numFmtId="0" fontId="1" fillId="4" borderId="0" xfId="0" applyFont="1" applyFill="1" applyBorder="1" applyAlignment="1">
      <alignment horizontal="center"/>
    </xf>
    <xf numFmtId="0" fontId="15" fillId="4" borderId="0" xfId="0" applyFont="1" applyFill="1" applyAlignment="1">
      <alignment horizontal="center" vertical="center"/>
    </xf>
    <xf numFmtId="178" fontId="5" fillId="0" borderId="0" xfId="0" applyNumberFormat="1" applyFont="1" applyFill="1" applyBorder="1" applyAlignment="1">
      <alignment horizontal="left" vertical="justify"/>
    </xf>
    <xf numFmtId="178" fontId="5" fillId="0" borderId="0" xfId="0" applyNumberFormat="1" applyFont="1" applyFill="1" applyBorder="1" applyAlignment="1">
      <alignment horizontal="left"/>
    </xf>
    <xf numFmtId="0" fontId="16" fillId="0" borderId="0" xfId="0" applyFont="1" applyFill="1" applyBorder="1" applyAlignment="1">
      <alignment horizontal="left"/>
    </xf>
    <xf numFmtId="178" fontId="16" fillId="0" borderId="0" xfId="0" applyNumberFormat="1"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horizontal="left"/>
    </xf>
    <xf numFmtId="2" fontId="6" fillId="0" borderId="0" xfId="0" applyNumberFormat="1" applyFont="1" applyFill="1" applyBorder="1" applyAlignment="1">
      <alignment/>
    </xf>
    <xf numFmtId="2" fontId="9" fillId="0" borderId="0" xfId="0" applyNumberFormat="1" applyFont="1" applyFill="1" applyBorder="1" applyAlignment="1">
      <alignment/>
    </xf>
    <xf numFmtId="14" fontId="13" fillId="4" borderId="24" xfId="0" applyNumberFormat="1" applyFont="1" applyFill="1" applyBorder="1" applyAlignment="1" applyProtection="1">
      <alignment/>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xdr:row>
      <xdr:rowOff>28575</xdr:rowOff>
    </xdr:from>
    <xdr:to>
      <xdr:col>2</xdr:col>
      <xdr:colOff>1952625</xdr:colOff>
      <xdr:row>11</xdr:row>
      <xdr:rowOff>171450</xdr:rowOff>
    </xdr:to>
    <xdr:pic>
      <xdr:nvPicPr>
        <xdr:cNvPr id="1" name="Picture 8"/>
        <xdr:cNvPicPr preferRelativeResize="1">
          <a:picLocks noChangeAspect="1"/>
        </xdr:cNvPicPr>
      </xdr:nvPicPr>
      <xdr:blipFill>
        <a:blip r:embed="rId1"/>
        <a:stretch>
          <a:fillRect/>
        </a:stretch>
      </xdr:blipFill>
      <xdr:spPr>
        <a:xfrm>
          <a:off x="609600" y="1495425"/>
          <a:ext cx="171450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1:L53"/>
  <sheetViews>
    <sheetView showGridLines="0" tabSelected="1" zoomScale="75" zoomScaleNormal="75" workbookViewId="0" topLeftCell="A1">
      <selection activeCell="E23" sqref="E23"/>
    </sheetView>
  </sheetViews>
  <sheetFormatPr defaultColWidth="11.421875" defaultRowHeight="12.75"/>
  <cols>
    <col min="1" max="1" width="3.140625" style="22" customWidth="1"/>
    <col min="2" max="2" width="2.421875" style="22" customWidth="1"/>
    <col min="3" max="3" width="47.7109375" style="22" customWidth="1"/>
    <col min="4" max="5" width="25.7109375" style="22" customWidth="1"/>
    <col min="6" max="6" width="2.28125" style="22" customWidth="1"/>
    <col min="7" max="7" width="38.140625" style="22" customWidth="1"/>
    <col min="8" max="8" width="9.00390625" style="22" bestFit="1" customWidth="1"/>
    <col min="9" max="9" width="8.421875" style="22" customWidth="1"/>
    <col min="10" max="10" width="13.00390625" style="22" customWidth="1"/>
    <col min="11" max="11" width="3.00390625" style="22" customWidth="1"/>
    <col min="12" max="12" width="3.421875" style="22" customWidth="1"/>
    <col min="13" max="16384" width="11.421875" style="22" customWidth="1"/>
  </cols>
  <sheetData>
    <row r="1" spans="1:11" ht="87.75" customHeight="1">
      <c r="A1" s="143" t="s">
        <v>28</v>
      </c>
      <c r="B1" s="143"/>
      <c r="C1" s="143"/>
      <c r="D1" s="143"/>
      <c r="E1" s="143"/>
      <c r="F1" s="143"/>
      <c r="G1" s="143"/>
      <c r="H1" s="143"/>
      <c r="I1" s="143"/>
      <c r="J1" s="143"/>
      <c r="K1" s="143"/>
    </row>
    <row r="3" spans="1:12" ht="15">
      <c r="A3" s="20"/>
      <c r="B3" s="21"/>
      <c r="C3" s="21"/>
      <c r="D3" s="21"/>
      <c r="E3" s="21"/>
      <c r="F3" s="21"/>
      <c r="G3" s="21"/>
      <c r="H3" s="21"/>
      <c r="I3" s="21"/>
      <c r="J3" s="21"/>
      <c r="K3" s="21"/>
      <c r="L3" s="21"/>
    </row>
    <row r="4" spans="1:12" ht="23.25" customHeight="1">
      <c r="A4" s="20"/>
      <c r="B4" s="87"/>
      <c r="C4" s="148" t="s">
        <v>52</v>
      </c>
      <c r="D4" s="148"/>
      <c r="E4" s="148"/>
      <c r="F4" s="148"/>
      <c r="G4" s="148"/>
      <c r="H4" s="148"/>
      <c r="I4" s="148"/>
      <c r="J4" s="148"/>
      <c r="K4" s="87"/>
      <c r="L4" s="89"/>
    </row>
    <row r="5" spans="1:12" ht="12.75" customHeight="1">
      <c r="A5" s="20"/>
      <c r="B5" s="87"/>
      <c r="C5" s="147"/>
      <c r="D5" s="147"/>
      <c r="E5" s="147"/>
      <c r="F5" s="147"/>
      <c r="G5" s="147"/>
      <c r="H5" s="87"/>
      <c r="I5" s="87"/>
      <c r="J5" s="87"/>
      <c r="K5" s="87"/>
      <c r="L5" s="89"/>
    </row>
    <row r="6" spans="1:12" s="24" customFormat="1" ht="16.5" thickBot="1">
      <c r="A6" s="23"/>
      <c r="D6" s="146"/>
      <c r="E6" s="146"/>
      <c r="F6" s="146"/>
      <c r="G6" s="86"/>
      <c r="L6" s="23"/>
    </row>
    <row r="7" spans="1:12" s="24" customFormat="1" ht="15.75">
      <c r="A7" s="23"/>
      <c r="D7" s="144" t="s">
        <v>29</v>
      </c>
      <c r="E7" s="145"/>
      <c r="F7" s="100"/>
      <c r="G7" s="98">
        <v>38231</v>
      </c>
      <c r="L7" s="23"/>
    </row>
    <row r="8" spans="1:12" s="24" customFormat="1" ht="15.75">
      <c r="A8" s="23"/>
      <c r="D8" s="102" t="s">
        <v>30</v>
      </c>
      <c r="E8" s="103"/>
      <c r="G8" s="157">
        <v>38231</v>
      </c>
      <c r="L8" s="23"/>
    </row>
    <row r="9" spans="1:12" s="24" customFormat="1" ht="16.5" thickBot="1">
      <c r="A9" s="23"/>
      <c r="D9" s="104" t="s">
        <v>31</v>
      </c>
      <c r="E9" s="105"/>
      <c r="F9" s="101"/>
      <c r="G9" s="99">
        <v>38899</v>
      </c>
      <c r="L9" s="23"/>
    </row>
    <row r="10" spans="1:12" s="24" customFormat="1" ht="15.75">
      <c r="A10" s="23"/>
      <c r="D10" s="50"/>
      <c r="E10" s="25"/>
      <c r="F10" s="22"/>
      <c r="L10" s="23"/>
    </row>
    <row r="11" spans="1:12" s="24" customFormat="1" ht="15">
      <c r="A11" s="23"/>
      <c r="F11" s="22"/>
      <c r="L11" s="23"/>
    </row>
    <row r="12" spans="1:12" s="24" customFormat="1" ht="15.75" thickBot="1">
      <c r="A12" s="23"/>
      <c r="D12" s="39"/>
      <c r="E12" s="39"/>
      <c r="F12" s="22"/>
      <c r="L12" s="23"/>
    </row>
    <row r="13" spans="1:12" s="24" customFormat="1" ht="16.5" thickBot="1">
      <c r="A13" s="23"/>
      <c r="C13" s="47" t="s">
        <v>24</v>
      </c>
      <c r="D13" s="45" t="s">
        <v>41</v>
      </c>
      <c r="E13" s="45" t="s">
        <v>42</v>
      </c>
      <c r="G13" s="153"/>
      <c r="H13" s="153"/>
      <c r="I13" s="153"/>
      <c r="L13" s="23"/>
    </row>
    <row r="14" spans="1:12" s="24" customFormat="1" ht="15.75">
      <c r="A14" s="23"/>
      <c r="C14" s="42" t="s">
        <v>22</v>
      </c>
      <c r="D14" s="26">
        <v>0.0594</v>
      </c>
      <c r="E14" s="26">
        <v>0.0499</v>
      </c>
      <c r="G14" s="154"/>
      <c r="H14" s="155"/>
      <c r="I14" s="156"/>
      <c r="L14" s="23"/>
    </row>
    <row r="15" spans="1:12" s="24" customFormat="1" ht="16.5" thickBot="1">
      <c r="A15" s="23"/>
      <c r="C15" s="43" t="s">
        <v>23</v>
      </c>
      <c r="D15" s="69">
        <f>ROUND((POWER(1+D$14,1/12)-1),6)</f>
        <v>0.00482</v>
      </c>
      <c r="E15" s="69">
        <f>ROUND((POWER(1+E$14,1/12)-1),6)</f>
        <v>0.004066</v>
      </c>
      <c r="G15" s="154"/>
      <c r="H15" s="155"/>
      <c r="I15" s="156"/>
      <c r="L15" s="23"/>
    </row>
    <row r="16" spans="1:12" s="24" customFormat="1" ht="16.5" thickBot="1">
      <c r="A16" s="23"/>
      <c r="C16" s="43" t="s">
        <v>33</v>
      </c>
      <c r="D16" s="69">
        <f>ROUND((POWER(1+D$14,1/4)-1),6)</f>
        <v>0.01453</v>
      </c>
      <c r="E16" s="69">
        <f>ROUND((POWER(1+E$14,1/4)-1),6)</f>
        <v>0.012248</v>
      </c>
      <c r="G16" s="117" t="s">
        <v>50</v>
      </c>
      <c r="H16" s="49" t="s">
        <v>12</v>
      </c>
      <c r="I16" s="46" t="s">
        <v>13</v>
      </c>
      <c r="L16" s="23"/>
    </row>
    <row r="17" spans="1:12" s="24" customFormat="1" ht="15.75">
      <c r="A17" s="23"/>
      <c r="C17" s="43" t="s">
        <v>34</v>
      </c>
      <c r="D17" s="69">
        <f>D15*12</f>
        <v>0.057839999999999996</v>
      </c>
      <c r="E17" s="69">
        <f>E15*12</f>
        <v>0.048792</v>
      </c>
      <c r="G17" s="48" t="s">
        <v>41</v>
      </c>
      <c r="H17" s="27">
        <f>+'Flujos Mensuales'!C33</f>
        <v>5.831718169999999</v>
      </c>
      <c r="I17" s="28">
        <f>+H17/12</f>
        <v>0.4859765141666666</v>
      </c>
      <c r="L17" s="23"/>
    </row>
    <row r="18" spans="1:12" s="24" customFormat="1" ht="16.5" thickBot="1">
      <c r="A18" s="23"/>
      <c r="C18" s="44" t="s">
        <v>32</v>
      </c>
      <c r="D18" s="85">
        <f>D16*4</f>
        <v>0.05812</v>
      </c>
      <c r="E18" s="85">
        <f>E16*4</f>
        <v>0.048992</v>
      </c>
      <c r="G18" s="126" t="s">
        <v>42</v>
      </c>
      <c r="H18" s="97">
        <f>+'Flujos Mensuales'!M33</f>
        <v>14.21501445</v>
      </c>
      <c r="I18" s="30">
        <f>+H18/12</f>
        <v>1.1845845375</v>
      </c>
      <c r="L18" s="23"/>
    </row>
    <row r="19" spans="1:12" s="24" customFormat="1" ht="16.5" thickBot="1">
      <c r="A19" s="23"/>
      <c r="D19" s="39"/>
      <c r="F19" s="31"/>
      <c r="G19" s="127" t="s">
        <v>51</v>
      </c>
      <c r="H19" s="124" t="s">
        <v>12</v>
      </c>
      <c r="I19" s="125" t="s">
        <v>13</v>
      </c>
      <c r="L19" s="23"/>
    </row>
    <row r="20" spans="1:12" s="33" customFormat="1" ht="16.5" thickBot="1">
      <c r="A20" s="32"/>
      <c r="C20" s="47" t="s">
        <v>21</v>
      </c>
      <c r="D20" s="45" t="s">
        <v>41</v>
      </c>
      <c r="E20" s="45" t="s">
        <v>42</v>
      </c>
      <c r="F20" s="35"/>
      <c r="G20" s="48" t="s">
        <v>41</v>
      </c>
      <c r="H20" s="27">
        <f>+I20*12</f>
        <v>5.767188778255387</v>
      </c>
      <c r="I20" s="28">
        <f>+'Flujos Mensuales'!K33</f>
        <v>0.4805990648546156</v>
      </c>
      <c r="L20" s="32"/>
    </row>
    <row r="21" spans="1:12" s="24" customFormat="1" ht="16.5" thickBot="1">
      <c r="A21" s="23"/>
      <c r="C21" s="42" t="s">
        <v>22</v>
      </c>
      <c r="D21" s="88">
        <v>0.0594</v>
      </c>
      <c r="E21" s="34">
        <v>0.04991942376242245</v>
      </c>
      <c r="F21" s="36"/>
      <c r="G21" s="48" t="s">
        <v>42</v>
      </c>
      <c r="H21" s="27">
        <f>+I21*12</f>
        <v>13.834663331792115</v>
      </c>
      <c r="I21" s="29">
        <f>+'Flujos Mensuales'!U33</f>
        <v>1.1528886109826761</v>
      </c>
      <c r="L21" s="23"/>
    </row>
    <row r="22" spans="1:12" s="24" customFormat="1" ht="16.5" thickBot="1">
      <c r="A22" s="23"/>
      <c r="C22" s="71" t="s">
        <v>27</v>
      </c>
      <c r="D22" s="84">
        <f>ROUND('Flujos Mensuales'!I32,3)</f>
        <v>100</v>
      </c>
      <c r="E22" s="51">
        <f>ROUND('Flujos Mensuales'!S32,3)</f>
        <v>99.998</v>
      </c>
      <c r="G22" s="117" t="s">
        <v>40</v>
      </c>
      <c r="H22" s="49" t="s">
        <v>12</v>
      </c>
      <c r="I22" s="46" t="s">
        <v>13</v>
      </c>
      <c r="L22" s="23"/>
    </row>
    <row r="23" spans="1:12" s="24" customFormat="1" ht="16.5" thickBot="1">
      <c r="A23" s="23"/>
      <c r="C23" s="71" t="s">
        <v>36</v>
      </c>
      <c r="D23" s="84">
        <f>+'Flujos Mensuales'!I32</f>
        <v>99.99993911477995</v>
      </c>
      <c r="E23" s="51">
        <f>+'Flujos Mensuales'!S32</f>
        <v>99.99768728968081</v>
      </c>
      <c r="G23" s="48" t="s">
        <v>41</v>
      </c>
      <c r="H23" s="27">
        <f>+I23*12</f>
        <v>5.44382554111326</v>
      </c>
      <c r="I23" s="28">
        <f>+'Flujos Mensuales'!K34</f>
        <v>0.45365212842610503</v>
      </c>
      <c r="L23" s="23"/>
    </row>
    <row r="24" spans="1:12" s="24" customFormat="1" ht="18.75" customHeight="1" thickBot="1">
      <c r="A24" s="23"/>
      <c r="D24" s="70">
        <v>100</v>
      </c>
      <c r="E24" s="70">
        <v>100</v>
      </c>
      <c r="G24" s="126" t="s">
        <v>42</v>
      </c>
      <c r="H24" s="97">
        <f>+I24*12</f>
        <v>13.176881024083848</v>
      </c>
      <c r="I24" s="30">
        <f>+'Flujos Mensuales'!U34</f>
        <v>1.098073418673654</v>
      </c>
      <c r="L24" s="23"/>
    </row>
    <row r="25" spans="1:12" s="24" customFormat="1" ht="15">
      <c r="A25" s="23"/>
      <c r="L25" s="23"/>
    </row>
    <row r="26" spans="1:12" ht="15.75" thickBot="1">
      <c r="A26" s="20"/>
      <c r="C26" s="24"/>
      <c r="D26" s="96"/>
      <c r="E26" s="90"/>
      <c r="L26" s="20"/>
    </row>
    <row r="27" spans="1:12" ht="16.5" thickBot="1">
      <c r="A27" s="20"/>
      <c r="C27" s="24"/>
      <c r="D27" s="141" t="s">
        <v>35</v>
      </c>
      <c r="E27" s="142"/>
      <c r="F27" s="37"/>
      <c r="J27" s="24"/>
      <c r="K27" s="24"/>
      <c r="L27" s="20"/>
    </row>
    <row r="28" spans="1:12" ht="16.5" thickBot="1">
      <c r="A28" s="20"/>
      <c r="C28" s="68" t="s">
        <v>11</v>
      </c>
      <c r="D28" s="140" t="s">
        <v>41</v>
      </c>
      <c r="E28" s="45" t="s">
        <v>42</v>
      </c>
      <c r="G28" s="38"/>
      <c r="H28" s="38"/>
      <c r="I28" s="38"/>
      <c r="J28" s="38"/>
      <c r="K28" s="24"/>
      <c r="L28" s="20"/>
    </row>
    <row r="29" spans="1:12" ht="15">
      <c r="A29" s="20"/>
      <c r="C29" s="137">
        <f>_XLL.FECHA.MES(G7,1)</f>
        <v>38261</v>
      </c>
      <c r="D29" s="55">
        <v>0</v>
      </c>
      <c r="E29" s="55">
        <v>0</v>
      </c>
      <c r="G29" s="38"/>
      <c r="H29" s="38"/>
      <c r="I29" s="38"/>
      <c r="J29" s="38"/>
      <c r="K29" s="24"/>
      <c r="L29" s="20"/>
    </row>
    <row r="30" spans="1:12" ht="15">
      <c r="A30" s="20"/>
      <c r="C30" s="138">
        <f>_XLL.FECHA.MES(C29,1)</f>
        <v>38292</v>
      </c>
      <c r="D30" s="53">
        <v>0</v>
      </c>
      <c r="E30" s="53">
        <v>0</v>
      </c>
      <c r="K30" s="24"/>
      <c r="L30" s="20"/>
    </row>
    <row r="31" spans="1:12" ht="15">
      <c r="A31" s="20"/>
      <c r="C31" s="138">
        <f>_XLL.FECHA.MES(C30,1)</f>
        <v>38322</v>
      </c>
      <c r="D31" s="53">
        <v>0.20478264</v>
      </c>
      <c r="E31" s="53">
        <v>0</v>
      </c>
      <c r="K31" s="24"/>
      <c r="L31" s="20"/>
    </row>
    <row r="32" spans="1:12" ht="15">
      <c r="A32" s="20"/>
      <c r="C32" s="138">
        <f>_XLL.FECHA.MES(C31,1)</f>
        <v>38353</v>
      </c>
      <c r="D32" s="53">
        <v>0.15884896</v>
      </c>
      <c r="E32" s="53">
        <v>0</v>
      </c>
      <c r="K32" s="39"/>
      <c r="L32" s="20"/>
    </row>
    <row r="33" spans="1:12" ht="15">
      <c r="A33" s="20"/>
      <c r="C33" s="138">
        <f>_XLL.FECHA.MES(C32,1)</f>
        <v>38384</v>
      </c>
      <c r="D33" s="53">
        <v>0.12711423</v>
      </c>
      <c r="E33" s="53">
        <v>0</v>
      </c>
      <c r="G33" s="24"/>
      <c r="K33" s="40"/>
      <c r="L33" s="20"/>
    </row>
    <row r="34" spans="1:12" ht="15" customHeight="1">
      <c r="A34" s="20"/>
      <c r="C34" s="138">
        <f>_XLL.FECHA.MES(C33,1)</f>
        <v>38412</v>
      </c>
      <c r="D34" s="53">
        <v>0.12509563</v>
      </c>
      <c r="E34" s="53">
        <v>0</v>
      </c>
      <c r="L34" s="20"/>
    </row>
    <row r="35" spans="1:12" ht="15">
      <c r="A35" s="20"/>
      <c r="C35" s="138">
        <f>_XLL.FECHA.MES(C34,1)</f>
        <v>38443</v>
      </c>
      <c r="D35" s="53">
        <v>0.09754516</v>
      </c>
      <c r="E35" s="53">
        <v>0</v>
      </c>
      <c r="L35" s="20"/>
    </row>
    <row r="36" spans="1:12" ht="15">
      <c r="A36" s="20"/>
      <c r="C36" s="138">
        <f>_XLL.FECHA.MES(C35,1)</f>
        <v>38473</v>
      </c>
      <c r="D36" s="53">
        <v>0.11016217</v>
      </c>
      <c r="E36" s="53">
        <v>0</v>
      </c>
      <c r="L36" s="20"/>
    </row>
    <row r="37" spans="1:12" ht="15" customHeight="1">
      <c r="A37" s="20"/>
      <c r="C37" s="138">
        <f>_XLL.FECHA.MES(C36,1)</f>
        <v>38504</v>
      </c>
      <c r="D37" s="53">
        <v>0.1327961</v>
      </c>
      <c r="E37" s="53">
        <v>0</v>
      </c>
      <c r="L37" s="20"/>
    </row>
    <row r="38" spans="1:12" ht="15">
      <c r="A38" s="20"/>
      <c r="C38" s="138">
        <f>_XLL.FECHA.MES(C37,1)</f>
        <v>38534</v>
      </c>
      <c r="D38" s="53">
        <v>0.04365511</v>
      </c>
      <c r="E38" s="53">
        <v>0.10539126</v>
      </c>
      <c r="L38" s="20"/>
    </row>
    <row r="39" spans="1:12" ht="15">
      <c r="A39" s="20"/>
      <c r="C39" s="138">
        <f>_XLL.FECHA.MES(C38,1)</f>
        <v>38565</v>
      </c>
      <c r="D39" s="53">
        <v>0</v>
      </c>
      <c r="E39" s="53">
        <v>0.15775717</v>
      </c>
      <c r="L39" s="20"/>
    </row>
    <row r="40" spans="1:12" ht="15" customHeight="1">
      <c r="A40" s="20"/>
      <c r="C40" s="138">
        <f>_XLL.FECHA.MES(C39,1)</f>
        <v>38596</v>
      </c>
      <c r="D40" s="53">
        <v>0</v>
      </c>
      <c r="E40" s="53">
        <v>0.09594529</v>
      </c>
      <c r="L40" s="20"/>
    </row>
    <row r="41" spans="1:12" ht="15">
      <c r="A41" s="20"/>
      <c r="C41" s="138">
        <f>_XLL.FECHA.MES(C40,1)</f>
        <v>38626</v>
      </c>
      <c r="D41" s="53">
        <v>0</v>
      </c>
      <c r="E41" s="53">
        <v>0.10589771</v>
      </c>
      <c r="L41" s="20"/>
    </row>
    <row r="42" spans="1:12" ht="15">
      <c r="A42" s="20"/>
      <c r="C42" s="138">
        <f>_XLL.FECHA.MES(C41,1)</f>
        <v>38657</v>
      </c>
      <c r="D42" s="53">
        <v>0</v>
      </c>
      <c r="E42" s="53">
        <v>0.10158528</v>
      </c>
      <c r="L42" s="20"/>
    </row>
    <row r="43" spans="1:12" ht="15" customHeight="1">
      <c r="A43" s="20"/>
      <c r="C43" s="138">
        <f>_XLL.FECHA.MES(C42,1)</f>
        <v>38687</v>
      </c>
      <c r="D43" s="53">
        <v>0</v>
      </c>
      <c r="E43" s="53">
        <v>0.08574768</v>
      </c>
      <c r="L43" s="20"/>
    </row>
    <row r="44" spans="1:12" ht="15">
      <c r="A44" s="20"/>
      <c r="C44" s="138">
        <f>_XLL.FECHA.MES(C43,1)</f>
        <v>38718</v>
      </c>
      <c r="D44" s="53">
        <v>0</v>
      </c>
      <c r="E44" s="53">
        <v>0.09048538</v>
      </c>
      <c r="L44" s="20"/>
    </row>
    <row r="45" spans="1:12" ht="15">
      <c r="A45" s="20"/>
      <c r="C45" s="138">
        <f>_XLL.FECHA.MES(C44,1)</f>
        <v>38749</v>
      </c>
      <c r="D45" s="53">
        <v>0</v>
      </c>
      <c r="E45" s="53">
        <v>0.08609307</v>
      </c>
      <c r="L45" s="20"/>
    </row>
    <row r="46" spans="1:12" ht="15" customHeight="1">
      <c r="A46" s="20"/>
      <c r="C46" s="138">
        <f>_XLL.FECHA.MES(C45,1)</f>
        <v>38777</v>
      </c>
      <c r="D46" s="53">
        <v>0</v>
      </c>
      <c r="E46" s="53">
        <v>0.06103368</v>
      </c>
      <c r="L46" s="20"/>
    </row>
    <row r="47" spans="1:12" ht="15" customHeight="1">
      <c r="A47" s="20"/>
      <c r="C47" s="138">
        <f>_XLL.FECHA.MES(C46,1)</f>
        <v>38808</v>
      </c>
      <c r="D47" s="53">
        <v>0</v>
      </c>
      <c r="E47" s="53">
        <v>0.05579928</v>
      </c>
      <c r="G47" s="151"/>
      <c r="H47" s="151"/>
      <c r="I47" s="151"/>
      <c r="J47" s="151"/>
      <c r="L47" s="20"/>
    </row>
    <row r="48" spans="1:12" ht="15" customHeight="1">
      <c r="A48" s="20"/>
      <c r="C48" s="138">
        <f>_XLL.FECHA.MES(C47,1)</f>
        <v>38838</v>
      </c>
      <c r="D48" s="53">
        <v>0</v>
      </c>
      <c r="E48" s="53">
        <v>0.02861986</v>
      </c>
      <c r="G48" s="152"/>
      <c r="H48" s="150"/>
      <c r="I48" s="150"/>
      <c r="J48" s="150"/>
      <c r="L48" s="20"/>
    </row>
    <row r="49" spans="1:12" ht="15" customHeight="1">
      <c r="A49" s="20"/>
      <c r="C49" s="138">
        <f>_XLL.FECHA.MES(C48,1)</f>
        <v>38869</v>
      </c>
      <c r="D49" s="53">
        <v>0</v>
      </c>
      <c r="E49" s="53">
        <v>0.01736336</v>
      </c>
      <c r="G49" s="149"/>
      <c r="H49" s="149"/>
      <c r="I49" s="149"/>
      <c r="J49" s="149"/>
      <c r="L49" s="20"/>
    </row>
    <row r="50" spans="1:12" ht="15" customHeight="1" thickBot="1">
      <c r="A50" s="20"/>
      <c r="C50" s="139">
        <f>_XLL.FECHA.MES(C49,1)</f>
        <v>38899</v>
      </c>
      <c r="D50" s="54">
        <v>0</v>
      </c>
      <c r="E50" s="54">
        <v>0.00828098</v>
      </c>
      <c r="G50" s="149"/>
      <c r="H50" s="149"/>
      <c r="I50" s="149"/>
      <c r="J50" s="149"/>
      <c r="L50" s="20"/>
    </row>
    <row r="51" spans="1:12" ht="15">
      <c r="A51" s="20"/>
      <c r="D51" s="41"/>
      <c r="E51" s="41"/>
      <c r="L51" s="20"/>
    </row>
    <row r="52" spans="1:12" ht="15">
      <c r="A52" s="20"/>
      <c r="B52" s="20"/>
      <c r="C52" s="20"/>
      <c r="D52" s="20"/>
      <c r="E52" s="20"/>
      <c r="F52" s="20"/>
      <c r="G52" s="20"/>
      <c r="H52" s="20"/>
      <c r="I52" s="20"/>
      <c r="J52" s="20"/>
      <c r="K52" s="20"/>
      <c r="L52" s="20"/>
    </row>
    <row r="53" spans="1:12" ht="15">
      <c r="A53" s="20"/>
      <c r="B53" s="20"/>
      <c r="C53" s="20"/>
      <c r="D53" s="20"/>
      <c r="E53" s="20"/>
      <c r="F53" s="20"/>
      <c r="G53" s="20"/>
      <c r="H53" s="20"/>
      <c r="I53" s="20"/>
      <c r="J53" s="20"/>
      <c r="K53" s="20"/>
      <c r="L53" s="20"/>
    </row>
  </sheetData>
  <sheetProtection/>
  <protectedRanges>
    <protectedRange sqref="G7:G8" name="Rango1"/>
    <protectedRange sqref="D21:E21" name="Rango2"/>
  </protectedRanges>
  <mergeCells count="8">
    <mergeCell ref="G50:J50"/>
    <mergeCell ref="D27:E27"/>
    <mergeCell ref="A1:K1"/>
    <mergeCell ref="D7:E7"/>
    <mergeCell ref="D6:F6"/>
    <mergeCell ref="C5:G5"/>
    <mergeCell ref="C4:J4"/>
    <mergeCell ref="G49:J49"/>
  </mergeCells>
  <printOptions/>
  <pageMargins left="0.75" right="0.75" top="1" bottom="1" header="0" footer="0"/>
  <pageSetup fitToHeight="1" fitToWidth="1" horizontalDpi="600" verticalDpi="600" orientation="portrait" scale="36" r:id="rId2"/>
  <drawing r:id="rId1"/>
</worksheet>
</file>

<file path=xl/worksheets/sheet2.xml><?xml version="1.0" encoding="utf-8"?>
<worksheet xmlns="http://schemas.openxmlformats.org/spreadsheetml/2006/main" xmlns:r="http://schemas.openxmlformats.org/officeDocument/2006/relationships">
  <sheetPr codeName="Hoja2"/>
  <dimension ref="A1:X41"/>
  <sheetViews>
    <sheetView zoomScale="70" zoomScaleNormal="70" workbookViewId="0" topLeftCell="A1">
      <pane xSplit="1" ySplit="6" topLeftCell="F7" activePane="bottomRight" state="frozen"/>
      <selection pane="topLeft" activeCell="A1" sqref="A1"/>
      <selection pane="topRight" activeCell="B1" sqref="B1"/>
      <selection pane="bottomLeft" activeCell="A7" sqref="A7"/>
      <selection pane="bottomRight" activeCell="I32" sqref="I32"/>
    </sheetView>
  </sheetViews>
  <sheetFormatPr defaultColWidth="11.421875" defaultRowHeight="12.75"/>
  <cols>
    <col min="1" max="1" width="11.421875" style="1" customWidth="1"/>
    <col min="2" max="2" width="16.57421875" style="1" customWidth="1"/>
    <col min="3" max="3" width="12.140625" style="2" customWidth="1"/>
    <col min="4" max="4" width="13.00390625" style="2" customWidth="1"/>
    <col min="5" max="5" width="13.421875" style="1" customWidth="1"/>
    <col min="6" max="6" width="12.00390625" style="1" customWidth="1"/>
    <col min="7" max="7" width="11.140625" style="1" customWidth="1"/>
    <col min="8" max="8" width="12.140625" style="1" customWidth="1"/>
    <col min="9" max="9" width="11.57421875" style="1" customWidth="1"/>
    <col min="10" max="10" width="11.140625" style="1" customWidth="1"/>
    <col min="11" max="11" width="14.421875" style="1" customWidth="1"/>
    <col min="12" max="12" width="2.421875" style="1" customWidth="1"/>
    <col min="13" max="13" width="12.140625" style="2" customWidth="1"/>
    <col min="14" max="14" width="13.00390625" style="2" customWidth="1"/>
    <col min="15" max="15" width="10.8515625" style="1" bestFit="1" customWidth="1"/>
    <col min="16" max="16" width="12.00390625" style="1" customWidth="1"/>
    <col min="17" max="17" width="11.00390625" style="1" bestFit="1" customWidth="1"/>
    <col min="18" max="18" width="10.8515625" style="1" bestFit="1" customWidth="1"/>
    <col min="19" max="19" width="11.421875" style="1" customWidth="1"/>
    <col min="20" max="20" width="11.00390625" style="1" bestFit="1" customWidth="1"/>
    <col min="21" max="21" width="14.57421875" style="1" customWidth="1"/>
    <col min="22" max="16384" width="11.421875" style="1" customWidth="1"/>
  </cols>
  <sheetData>
    <row r="1" spans="1:3" ht="12.75">
      <c r="A1" s="1">
        <v>100</v>
      </c>
      <c r="C1" s="2" t="s">
        <v>6</v>
      </c>
    </row>
    <row r="2" spans="1:21" ht="12.75">
      <c r="A2" s="1">
        <f>DAY('CALCULADORA TECH E-2'!G7)</f>
        <v>1</v>
      </c>
      <c r="C2" s="2" t="s">
        <v>7</v>
      </c>
      <c r="H2" s="3"/>
      <c r="J2" s="4"/>
      <c r="K2" s="4"/>
      <c r="L2" s="4"/>
      <c r="R2" s="3"/>
      <c r="T2" s="4"/>
      <c r="U2" s="4"/>
    </row>
    <row r="3" spans="1:3" ht="12.75">
      <c r="A3" s="1">
        <v>360</v>
      </c>
      <c r="C3" s="2" t="s">
        <v>20</v>
      </c>
    </row>
    <row r="4" ht="13.5" thickBot="1"/>
    <row r="5" spans="1:21" ht="12.75">
      <c r="A5" s="5" t="s">
        <v>0</v>
      </c>
      <c r="B5" s="56"/>
      <c r="C5" s="57" t="s">
        <v>43</v>
      </c>
      <c r="D5" s="57"/>
      <c r="E5" s="58"/>
      <c r="F5" s="59"/>
      <c r="G5" s="59"/>
      <c r="H5" s="59"/>
      <c r="I5" s="59"/>
      <c r="J5" s="60"/>
      <c r="K5" s="59"/>
      <c r="L5" s="64"/>
      <c r="M5" s="57" t="s">
        <v>44</v>
      </c>
      <c r="N5" s="57"/>
      <c r="O5" s="58"/>
      <c r="P5" s="59"/>
      <c r="Q5" s="59"/>
      <c r="R5" s="59"/>
      <c r="S5" s="59"/>
      <c r="T5" s="60"/>
      <c r="U5" s="93"/>
    </row>
    <row r="6" spans="2:24" s="6" customFormat="1" ht="51">
      <c r="B6" s="61" t="s">
        <v>26</v>
      </c>
      <c r="C6" s="7" t="s">
        <v>2</v>
      </c>
      <c r="D6" s="7" t="s">
        <v>3</v>
      </c>
      <c r="E6" s="8" t="s">
        <v>4</v>
      </c>
      <c r="F6" s="8" t="s">
        <v>5</v>
      </c>
      <c r="G6" s="8" t="s">
        <v>1</v>
      </c>
      <c r="H6" s="8" t="s">
        <v>8</v>
      </c>
      <c r="I6" s="8" t="s">
        <v>25</v>
      </c>
      <c r="J6" s="62" t="s">
        <v>9</v>
      </c>
      <c r="K6" s="8" t="s">
        <v>37</v>
      </c>
      <c r="L6" s="61"/>
      <c r="M6" s="7" t="s">
        <v>2</v>
      </c>
      <c r="N6" s="7" t="s">
        <v>3</v>
      </c>
      <c r="O6" s="8" t="s">
        <v>4</v>
      </c>
      <c r="P6" s="8" t="s">
        <v>5</v>
      </c>
      <c r="Q6" s="8" t="s">
        <v>1</v>
      </c>
      <c r="R6" s="8" t="s">
        <v>8</v>
      </c>
      <c r="S6" s="8" t="s">
        <v>10</v>
      </c>
      <c r="T6" s="62" t="s">
        <v>9</v>
      </c>
      <c r="U6" s="94" t="s">
        <v>37</v>
      </c>
      <c r="W6" s="120" t="s">
        <v>45</v>
      </c>
      <c r="X6" s="128" t="s">
        <v>46</v>
      </c>
    </row>
    <row r="7" spans="1:23" s="13" customFormat="1" ht="12.75">
      <c r="A7" s="9">
        <f>'CALCULADORA TECH E-2'!G7</f>
        <v>38231</v>
      </c>
      <c r="B7" s="81">
        <f>DAYS360('CALCULADORA TECH E-2'!$G$8,A7,0)</f>
        <v>0</v>
      </c>
      <c r="C7" s="82">
        <v>0</v>
      </c>
      <c r="D7" s="72">
        <f>A1</f>
        <v>100</v>
      </c>
      <c r="E7" s="75">
        <v>0</v>
      </c>
      <c r="F7" s="75">
        <v>0</v>
      </c>
      <c r="G7" s="75">
        <v>0</v>
      </c>
      <c r="H7" s="76">
        <f>IF($B7&lt;0,0,G7/POWER(1+'CALCULADORA TECH E-2'!$D$14,'Flujos Mensuales'!$B7/$A$3))</f>
        <v>0</v>
      </c>
      <c r="I7" s="76">
        <f>IF(B7&lt;0,0,G7/POWER(1+'CALCULADORA TECH E-2'!$D$21,'Flujos Mensuales'!B7/$A$3))</f>
        <v>0</v>
      </c>
      <c r="J7" s="77">
        <f>ROUND(F10/90,4)</f>
        <v>0.0161</v>
      </c>
      <c r="K7" s="75">
        <f>I7*B7</f>
        <v>0</v>
      </c>
      <c r="L7" s="63"/>
      <c r="M7" s="79">
        <v>0</v>
      </c>
      <c r="N7" s="72">
        <f>A1</f>
        <v>100</v>
      </c>
      <c r="O7" s="75">
        <v>0</v>
      </c>
      <c r="P7" s="75">
        <v>0</v>
      </c>
      <c r="Q7" s="75">
        <f>P7+O7</f>
        <v>0</v>
      </c>
      <c r="R7" s="76">
        <f>IF($B7&lt;0,0,Q7/POWER(1+'CALCULADORA TECH E-2'!$E$14,'Flujos Mensuales'!$B7/$A$3))</f>
        <v>0</v>
      </c>
      <c r="S7" s="76">
        <f>IF($B7&lt;0,0,Q7/POWER(1+'CALCULADORA TECH E-2'!$E$21,'Flujos Mensuales'!$B7/$A$3))</f>
        <v>0</v>
      </c>
      <c r="T7" s="77">
        <f>P10/90</f>
        <v>0.01360888888888889</v>
      </c>
      <c r="U7" s="95">
        <f>S7*$B7</f>
        <v>0</v>
      </c>
      <c r="W7" s="13">
        <v>0</v>
      </c>
    </row>
    <row r="8" spans="1:24" ht="12.75">
      <c r="A8" s="14">
        <f>_XLL.FECHA.MES(A7,1)</f>
        <v>38261</v>
      </c>
      <c r="B8" s="81">
        <f>DAYS360('CALCULADORA TECH E-2'!$G$8,A8,0)</f>
        <v>30</v>
      </c>
      <c r="C8" s="82">
        <f>VLOOKUP(A8,'CALCULADORA TECH E-2'!$C$29:$E$50,2,0)</f>
        <v>0</v>
      </c>
      <c r="D8" s="73">
        <f>A1</f>
        <v>100</v>
      </c>
      <c r="E8" s="75">
        <f>C8*100</f>
        <v>0</v>
      </c>
      <c r="F8" s="75">
        <v>0</v>
      </c>
      <c r="G8" s="75">
        <f>F8+E8</f>
        <v>0</v>
      </c>
      <c r="H8" s="76">
        <f>IF($B8&lt;0,0,G8/POWER(1+'CALCULADORA TECH E-2'!$D$14,'Flujos Mensuales'!$B8/$A$3))</f>
        <v>0</v>
      </c>
      <c r="I8" s="76">
        <f>IF(B8&lt;0,0,G8/POWER(1+'CALCULADORA TECH E-2'!$D$21,'Flujos Mensuales'!B8/$A$3))</f>
        <v>0</v>
      </c>
      <c r="J8" s="77">
        <f>ROUND(F10/90,4)</f>
        <v>0.0161</v>
      </c>
      <c r="K8" s="75">
        <f aca="true" t="shared" si="0" ref="K8:K29">I8*B8</f>
        <v>0</v>
      </c>
      <c r="L8" s="65"/>
      <c r="M8" s="79">
        <f>VLOOKUP(A8,'CALCULADORA TECH E-2'!$C$29:$E$50,3,0)</f>
        <v>0</v>
      </c>
      <c r="N8" s="73">
        <f>A1</f>
        <v>100</v>
      </c>
      <c r="O8" s="75">
        <f>M8*$A$1</f>
        <v>0</v>
      </c>
      <c r="P8" s="75">
        <v>0</v>
      </c>
      <c r="Q8" s="75">
        <f>P8+O8</f>
        <v>0</v>
      </c>
      <c r="R8" s="76">
        <f>IF($B8&lt;0,0,Q8/POWER(1+'CALCULADORA TECH E-2'!$E$14,'Flujos Mensuales'!$B8/$A$3))</f>
        <v>0</v>
      </c>
      <c r="S8" s="76">
        <f>IF($B8&lt;0,0,Q8/POWER(1+'CALCULADORA TECH E-2'!$E$21,'Flujos Mensuales'!$B8/$A$3))</f>
        <v>0</v>
      </c>
      <c r="T8" s="77">
        <f>P10/90</f>
        <v>0.01360888888888889</v>
      </c>
      <c r="U8" s="95">
        <f aca="true" t="shared" si="1" ref="U8:U29">S8*$B8</f>
        <v>0</v>
      </c>
      <c r="W8" s="13">
        <v>1</v>
      </c>
      <c r="X8" s="13"/>
    </row>
    <row r="9" spans="1:24" ht="12.75">
      <c r="A9" s="14">
        <f>_XLL.FECHA.MES(A8,1)</f>
        <v>38292</v>
      </c>
      <c r="B9" s="81">
        <f>DAYS360('CALCULADORA TECH E-2'!$G$8,A9,0)</f>
        <v>60</v>
      </c>
      <c r="C9" s="82">
        <f>VLOOKUP(A9,'CALCULADORA TECH E-2'!$C$29:$E$50,2,0)</f>
        <v>0</v>
      </c>
      <c r="D9" s="73">
        <f>D8-(C9*100)</f>
        <v>100</v>
      </c>
      <c r="E9" s="75">
        <f>C9*100</f>
        <v>0</v>
      </c>
      <c r="F9" s="75">
        <v>0</v>
      </c>
      <c r="G9" s="75">
        <f>F9+E9</f>
        <v>0</v>
      </c>
      <c r="H9" s="76">
        <f>IF($B9&lt;0,0,G9/POWER(1+'CALCULADORA TECH E-2'!$D$14,'Flujos Mensuales'!$B9/$A$3))</f>
        <v>0</v>
      </c>
      <c r="I9" s="76">
        <f>IF(B9&lt;0,0,G9/POWER(1+'CALCULADORA TECH E-2'!$D$21,'Flujos Mensuales'!B9/$A$3))</f>
        <v>0</v>
      </c>
      <c r="J9" s="77">
        <f>ROUND(F10/90,4)</f>
        <v>0.0161</v>
      </c>
      <c r="K9" s="75">
        <f t="shared" si="0"/>
        <v>0</v>
      </c>
      <c r="L9" s="65"/>
      <c r="M9" s="79">
        <f>VLOOKUP(A9,'CALCULADORA TECH E-2'!$C$29:$E$50,3,0)</f>
        <v>0</v>
      </c>
      <c r="N9" s="73">
        <f>N8-O9</f>
        <v>100</v>
      </c>
      <c r="O9" s="75">
        <f aca="true" t="shared" si="2" ref="O9:O29">M9*$A$1</f>
        <v>0</v>
      </c>
      <c r="P9" s="75">
        <v>0</v>
      </c>
      <c r="Q9" s="75">
        <f>P9+O9</f>
        <v>0</v>
      </c>
      <c r="R9" s="76">
        <f>IF($B9&lt;0,0,Q9/POWER(1+'CALCULADORA TECH E-2'!$E$14,'Flujos Mensuales'!$B9/$A$3))</f>
        <v>0</v>
      </c>
      <c r="S9" s="76">
        <f>IF($B9&lt;0,0,Q9/POWER(1+'CALCULADORA TECH E-2'!$E$21,'Flujos Mensuales'!$B9/$A$3))</f>
        <v>0</v>
      </c>
      <c r="T9" s="77">
        <f>P10/90</f>
        <v>0.01360888888888889</v>
      </c>
      <c r="U9" s="95">
        <f t="shared" si="1"/>
        <v>0</v>
      </c>
      <c r="W9" s="1">
        <v>2</v>
      </c>
      <c r="X9" s="13"/>
    </row>
    <row r="10" spans="1:24" s="15" customFormat="1" ht="12.75">
      <c r="A10" s="19">
        <f>_XLL.FECHA.MES(A9,1)</f>
        <v>38322</v>
      </c>
      <c r="B10" s="81">
        <f>DAYS360('CALCULADORA TECH E-2'!$G$8,A10,0)</f>
        <v>90</v>
      </c>
      <c r="C10" s="83">
        <f>VLOOKUP(A10,'CALCULADORA TECH E-2'!$C$29:$E$50,2,0)</f>
        <v>0.20478264</v>
      </c>
      <c r="D10" s="74">
        <f>D9-E10</f>
        <v>79.521736</v>
      </c>
      <c r="E10" s="78">
        <f aca="true" t="shared" si="3" ref="E10:E29">C10*$A$1</f>
        <v>20.478264</v>
      </c>
      <c r="F10" s="78">
        <f>D9*'CALCULADORA TECH E-2'!D16</f>
        <v>1.4529999999999998</v>
      </c>
      <c r="G10" s="75">
        <f aca="true" t="shared" si="4" ref="G10:G17">F10+E10</f>
        <v>21.931264</v>
      </c>
      <c r="H10" s="76">
        <f>IF($B10&lt;0,0,G10/POWER(1+'CALCULADORA TECH E-2'!$D$14,'Flujos Mensuales'!$B10/$A$3))</f>
        <v>21.617161674141162</v>
      </c>
      <c r="I10" s="76">
        <f>IF(B10&lt;0,0,G10/POWER(1+'CALCULADORA TECH E-2'!$D$21,'Flujos Mensuales'!B10/$A$3))</f>
        <v>21.617161674141162</v>
      </c>
      <c r="J10" s="118">
        <f>ROUND(F11/30,4)</f>
        <v>0.0128</v>
      </c>
      <c r="K10" s="78">
        <f>I10*B10</f>
        <v>1945.5445506727046</v>
      </c>
      <c r="L10" s="66"/>
      <c r="M10" s="80">
        <f>VLOOKUP(A10,'CALCULADORA TECH E-2'!$C$29:$E$50,3,0)</f>
        <v>0</v>
      </c>
      <c r="N10" s="74">
        <f aca="true" t="shared" si="5" ref="N10:N29">N9-O10</f>
        <v>100</v>
      </c>
      <c r="O10" s="78">
        <f t="shared" si="2"/>
        <v>0</v>
      </c>
      <c r="P10" s="78">
        <f>N9*'CALCULADORA TECH E-2'!E16</f>
        <v>1.2248</v>
      </c>
      <c r="Q10" s="78">
        <f aca="true" t="shared" si="6" ref="Q10:Q29">IF(B10&lt;1,0,P10+O10)</f>
        <v>1.2248</v>
      </c>
      <c r="R10" s="76">
        <f>IF($B10&lt;0,0,Q10/POWER(1+'CALCULADORA TECH E-2'!$E$14,'Flujos Mensuales'!$B10/$A$3))</f>
        <v>1.2099800053604794</v>
      </c>
      <c r="S10" s="76">
        <f>IF($B10&lt;0,0,Q10/POWER(1+'CALCULADORA TECH E-2'!$E$21,'Flujos Mensuales'!$B10/$A$3))</f>
        <v>1.2099744090912137</v>
      </c>
      <c r="T10" s="118">
        <f>ROUND(P11/30,4)</f>
        <v>0.0136</v>
      </c>
      <c r="U10" s="119">
        <f t="shared" si="1"/>
        <v>108.89769681820923</v>
      </c>
      <c r="W10" s="16">
        <v>3</v>
      </c>
      <c r="X10" s="16"/>
    </row>
    <row r="11" spans="1:24" s="15" customFormat="1" ht="12.75">
      <c r="A11" s="19">
        <f>_XLL.FECHA.MES(A10,1)</f>
        <v>38353</v>
      </c>
      <c r="B11" s="81">
        <f>DAYS360('CALCULADORA TECH E-2'!$G$8,A11,0)</f>
        <v>120</v>
      </c>
      <c r="C11" s="83">
        <f>VLOOKUP(A11,'CALCULADORA TECH E-2'!$C$29:$E$50,2,0)</f>
        <v>0.15884896</v>
      </c>
      <c r="D11" s="74">
        <f aca="true" t="shared" si="7" ref="D11:D29">D10-E11</f>
        <v>63.63684000000001</v>
      </c>
      <c r="E11" s="78">
        <f t="shared" si="3"/>
        <v>15.884896000000001</v>
      </c>
      <c r="F11" s="78">
        <f>IF(D10&gt;0.00000000001,D10*'CALCULADORA TECH E-2'!$D$15,0)</f>
        <v>0.38329476751999997</v>
      </c>
      <c r="G11" s="75">
        <f t="shared" si="4"/>
        <v>16.26819076752</v>
      </c>
      <c r="H11" s="76">
        <f>IF($B11&lt;0,0,G11/POWER(1+'CALCULADORA TECH E-2'!$D$14,'Flujos Mensuales'!$B11/$A$3))</f>
        <v>15.958274590567108</v>
      </c>
      <c r="I11" s="76">
        <f>IF(B11&lt;0,0,G11/POWER(1+'CALCULADORA TECH E-2'!$D$21,'Flujos Mensuales'!B11/$A$3))</f>
        <v>15.958274590567108</v>
      </c>
      <c r="J11" s="118">
        <f aca="true" t="shared" si="8" ref="J11:J29">ROUND(F12/30,4)</f>
        <v>0.0102</v>
      </c>
      <c r="K11" s="78">
        <f>I11*B11</f>
        <v>1914.992950868053</v>
      </c>
      <c r="L11" s="66"/>
      <c r="M11" s="80">
        <f>VLOOKUP(A11,'CALCULADORA TECH E-2'!$C$29:$E$50,3,0)</f>
        <v>0</v>
      </c>
      <c r="N11" s="74">
        <f t="shared" si="5"/>
        <v>100</v>
      </c>
      <c r="O11" s="78">
        <f t="shared" si="2"/>
        <v>0</v>
      </c>
      <c r="P11" s="78">
        <f>IF(N10&gt;0.00000000001,N10*'CALCULADORA TECH E-2'!$E$15,0)</f>
        <v>0.4066</v>
      </c>
      <c r="Q11" s="78">
        <f t="shared" si="6"/>
        <v>0.4066</v>
      </c>
      <c r="R11" s="76">
        <f>IF($B11&lt;0,0,Q11/POWER(1+'CALCULADORA TECH E-2'!$E$14,'Flujos Mensuales'!$B11/$A$3))</f>
        <v>0.40005348900536125</v>
      </c>
      <c r="S11" s="76">
        <f>IF($B11&lt;0,0,Q11/POWER(1+'CALCULADORA TECH E-2'!$E$21,'Flujos Mensuales'!$B11/$A$3))</f>
        <v>0.40005102196148773</v>
      </c>
      <c r="T11" s="118">
        <f aca="true" t="shared" si="9" ref="T11:T29">ROUND(P12/30,4)</f>
        <v>0.0136</v>
      </c>
      <c r="U11" s="119">
        <f t="shared" si="1"/>
        <v>48.006122635378524</v>
      </c>
      <c r="W11" s="16">
        <v>4</v>
      </c>
      <c r="X11" s="16"/>
    </row>
    <row r="12" spans="1:24" s="15" customFormat="1" ht="12.75">
      <c r="A12" s="19">
        <f>_XLL.FECHA.MES(A11,1)</f>
        <v>38384</v>
      </c>
      <c r="B12" s="81">
        <f>DAYS360('CALCULADORA TECH E-2'!$G$8,A12,0)</f>
        <v>150</v>
      </c>
      <c r="C12" s="83">
        <f>VLOOKUP(A12,'CALCULADORA TECH E-2'!$C$29:$E$50,2,0)</f>
        <v>0.12711423</v>
      </c>
      <c r="D12" s="74">
        <f t="shared" si="7"/>
        <v>50.92541700000001</v>
      </c>
      <c r="E12" s="78">
        <f t="shared" si="3"/>
        <v>12.711423</v>
      </c>
      <c r="F12" s="78">
        <f>IF(D11&gt;0.00000000001,D11*'CALCULADORA TECH E-2'!$D$15,0)</f>
        <v>0.3067295688</v>
      </c>
      <c r="G12" s="75">
        <f t="shared" si="4"/>
        <v>13.0181525688</v>
      </c>
      <c r="H12" s="76">
        <f>IF($B12&lt;0,0,G12/POWER(1+'CALCULADORA TECH E-2'!$D$14,'Flujos Mensuales'!$B12/$A$3))</f>
        <v>12.708892420408187</v>
      </c>
      <c r="I12" s="76">
        <f>IF(B12&lt;0,0,G12/POWER(1+'CALCULADORA TECH E-2'!$D$21,'Flujos Mensuales'!B12/$A$3))</f>
        <v>12.708892420408187</v>
      </c>
      <c r="J12" s="118">
        <f t="shared" si="8"/>
        <v>0.0082</v>
      </c>
      <c r="K12" s="78">
        <f>I12*B12</f>
        <v>1906.3338630612282</v>
      </c>
      <c r="L12" s="67"/>
      <c r="M12" s="80">
        <f>VLOOKUP(A12,'CALCULADORA TECH E-2'!$C$29:$E$50,3,0)</f>
        <v>0</v>
      </c>
      <c r="N12" s="74">
        <f t="shared" si="5"/>
        <v>100</v>
      </c>
      <c r="O12" s="78">
        <f t="shared" si="2"/>
        <v>0</v>
      </c>
      <c r="P12" s="78">
        <f>IF(N11&gt;0.00000000001,N11*'CALCULADORA TECH E-2'!$E$15,0)</f>
        <v>0.4066</v>
      </c>
      <c r="Q12" s="78">
        <f t="shared" si="6"/>
        <v>0.4066</v>
      </c>
      <c r="R12" s="76">
        <f>IF($B12&lt;0,0,Q12/POWER(1+'CALCULADORA TECH E-2'!$E$14,'Flujos Mensuales'!$B12/$A$3))</f>
        <v>0.39843339721705195</v>
      </c>
      <c r="S12" s="76">
        <f>IF($B12&lt;0,0,Q12/POWER(1+'CALCULADORA TECH E-2'!$E$21,'Flujos Mensuales'!$B12/$A$3))</f>
        <v>0.39843032590302485</v>
      </c>
      <c r="T12" s="118">
        <f t="shared" si="9"/>
        <v>0.0136</v>
      </c>
      <c r="U12" s="119">
        <f t="shared" si="1"/>
        <v>59.76454888545373</v>
      </c>
      <c r="W12" s="15">
        <v>5</v>
      </c>
      <c r="X12" s="16"/>
    </row>
    <row r="13" spans="1:24" s="15" customFormat="1" ht="12.75">
      <c r="A13" s="19">
        <f>_XLL.FECHA.MES(A12,1)</f>
        <v>38412</v>
      </c>
      <c r="B13" s="81">
        <f>DAYS360('CALCULADORA TECH E-2'!$G$8,A13,0)</f>
        <v>180</v>
      </c>
      <c r="C13" s="83">
        <f>VLOOKUP(A13,'CALCULADORA TECH E-2'!$C$29:$E$50,2,0)</f>
        <v>0.12509563</v>
      </c>
      <c r="D13" s="74">
        <f t="shared" si="7"/>
        <v>38.41585400000001</v>
      </c>
      <c r="E13" s="78">
        <f t="shared" si="3"/>
        <v>12.509563000000002</v>
      </c>
      <c r="F13" s="78">
        <f>IF(D12&gt;0.00000000001,D12*'CALCULADORA TECH E-2'!$D$15,0)</f>
        <v>0.24546050994000004</v>
      </c>
      <c r="G13" s="75">
        <f t="shared" si="4"/>
        <v>12.755023509940003</v>
      </c>
      <c r="H13" s="76">
        <f>IF($B13&lt;0,0,G13/POWER(1+'CALCULADORA TECH E-2'!$D$14,'Flujos Mensuales'!$B13/$A$3))</f>
        <v>12.39228175524204</v>
      </c>
      <c r="I13" s="76">
        <f>IF(B13&lt;0,0,G13/POWER(1+'CALCULADORA TECH E-2'!$D$21,'Flujos Mensuales'!B13/$A$3))</f>
        <v>12.39228175524204</v>
      </c>
      <c r="J13" s="118">
        <f t="shared" si="8"/>
        <v>0.0062</v>
      </c>
      <c r="K13" s="78">
        <f t="shared" si="0"/>
        <v>2230.6107159435674</v>
      </c>
      <c r="L13" s="67"/>
      <c r="M13" s="80">
        <f>VLOOKUP(A13,'CALCULADORA TECH E-2'!$C$29:$E$50,3,0)</f>
        <v>0</v>
      </c>
      <c r="N13" s="74">
        <f t="shared" si="5"/>
        <v>100</v>
      </c>
      <c r="O13" s="78">
        <f t="shared" si="2"/>
        <v>0</v>
      </c>
      <c r="P13" s="78">
        <f>IF(N12&gt;0.00000000001,N12*'CALCULADORA TECH E-2'!$E$15,0)</f>
        <v>0.4066</v>
      </c>
      <c r="Q13" s="78">
        <f t="shared" si="6"/>
        <v>0.4066</v>
      </c>
      <c r="R13" s="76">
        <f>IF($B13&lt;0,0,Q13/POWER(1+'CALCULADORA TECH E-2'!$E$14,'Flujos Mensuales'!$B13/$A$3))</f>
        <v>0.3968198662949135</v>
      </c>
      <c r="S13" s="76">
        <f>IF($B13&lt;0,0,Q13/POWER(1+'CALCULADORA TECH E-2'!$E$21,'Flujos Mensuales'!$B13/$A$3))</f>
        <v>0.39681619564634646</v>
      </c>
      <c r="T13" s="118">
        <f t="shared" si="9"/>
        <v>0.0136</v>
      </c>
      <c r="U13" s="119">
        <f t="shared" si="1"/>
        <v>71.42691521634237</v>
      </c>
      <c r="W13" s="15">
        <v>6</v>
      </c>
      <c r="X13" s="16"/>
    </row>
    <row r="14" spans="1:24" s="15" customFormat="1" ht="12.75">
      <c r="A14" s="19">
        <f>_XLL.FECHA.MES(A13,1)</f>
        <v>38443</v>
      </c>
      <c r="B14" s="81">
        <f>DAYS360('CALCULADORA TECH E-2'!$G$8,A14,0)</f>
        <v>210</v>
      </c>
      <c r="C14" s="83">
        <f>VLOOKUP(A14,'CALCULADORA TECH E-2'!$C$29:$E$50,2,0)</f>
        <v>0.09754516</v>
      </c>
      <c r="D14" s="74">
        <f>D13-E14</f>
        <v>28.661338000000008</v>
      </c>
      <c r="E14" s="78">
        <f t="shared" si="3"/>
        <v>9.754516</v>
      </c>
      <c r="F14" s="78">
        <f>IF(D13&gt;0.00000000001,D13*'CALCULADORA TECH E-2'!$D$15,0)</f>
        <v>0.18516441628000002</v>
      </c>
      <c r="G14" s="75">
        <f t="shared" si="4"/>
        <v>9.93968041628</v>
      </c>
      <c r="H14" s="76">
        <f>IF($B14&lt;0,0,G14/POWER(1+'CALCULADORA TECH E-2'!$D$14,'Flujos Mensuales'!$B14/$A$3))</f>
        <v>9.610679755179387</v>
      </c>
      <c r="I14" s="76">
        <f>IF(B14&lt;0,0,G14/POWER(1+'CALCULADORA TECH E-2'!$D$21,'Flujos Mensuales'!B14/$A$3))</f>
        <v>9.610679755179387</v>
      </c>
      <c r="J14" s="118">
        <f t="shared" si="8"/>
        <v>0.0046</v>
      </c>
      <c r="K14" s="78">
        <f t="shared" si="0"/>
        <v>2018.2427485876713</v>
      </c>
      <c r="L14" s="67"/>
      <c r="M14" s="80">
        <f>VLOOKUP(A14,'CALCULADORA TECH E-2'!$C$29:$E$50,3,0)</f>
        <v>0</v>
      </c>
      <c r="N14" s="74">
        <f t="shared" si="5"/>
        <v>100</v>
      </c>
      <c r="O14" s="78">
        <f t="shared" si="2"/>
        <v>0</v>
      </c>
      <c r="P14" s="78">
        <f>IF(N13&gt;0.00000000001,N13*'CALCULADORA TECH E-2'!$E$15,0)</f>
        <v>0.4066</v>
      </c>
      <c r="Q14" s="78">
        <f t="shared" si="6"/>
        <v>0.4066</v>
      </c>
      <c r="R14" s="76">
        <f>IF($B14&lt;0,0,Q14/POWER(1+'CALCULADORA TECH E-2'!$E$14,'Flujos Mensuales'!$B14/$A$3))</f>
        <v>0.39521286966948527</v>
      </c>
      <c r="S14" s="76">
        <f>IF($B14&lt;0,0,Q14/POWER(1+'CALCULADORA TECH E-2'!$E$21,'Flujos Mensuales'!$B14/$A$3))</f>
        <v>0.3952086045919229</v>
      </c>
      <c r="T14" s="118">
        <f t="shared" si="9"/>
        <v>0.0136</v>
      </c>
      <c r="U14" s="119">
        <f t="shared" si="1"/>
        <v>82.99380696430381</v>
      </c>
      <c r="W14" s="16">
        <v>7</v>
      </c>
      <c r="X14" s="16"/>
    </row>
    <row r="15" spans="1:24" s="15" customFormat="1" ht="12.75">
      <c r="A15" s="19">
        <f>_XLL.FECHA.MES(A14,1)</f>
        <v>38473</v>
      </c>
      <c r="B15" s="81">
        <f>DAYS360('CALCULADORA TECH E-2'!$G$8,A15,0)</f>
        <v>240</v>
      </c>
      <c r="C15" s="83">
        <f>VLOOKUP(A15,'CALCULADORA TECH E-2'!$C$29:$E$50,2,0)</f>
        <v>0.11016217</v>
      </c>
      <c r="D15" s="74">
        <f t="shared" si="7"/>
        <v>17.645121000000007</v>
      </c>
      <c r="E15" s="78">
        <f t="shared" si="3"/>
        <v>11.016217000000001</v>
      </c>
      <c r="F15" s="78">
        <f>IF(D14&gt;0.00000000001,D14*'CALCULADORA TECH E-2'!$D$15,0)</f>
        <v>0.13814764916000002</v>
      </c>
      <c r="G15" s="75">
        <f t="shared" si="4"/>
        <v>11.154364649160001</v>
      </c>
      <c r="H15" s="76">
        <f>IF($B15&lt;0,0,G15/POWER(1+'CALCULADORA TECH E-2'!$D$14,'Flujos Mensuales'!$B15/$A$3))</f>
        <v>10.733421694406694</v>
      </c>
      <c r="I15" s="76">
        <f>IF(B15&lt;0,0,G15/POWER(1+'CALCULADORA TECH E-2'!$D$21,'Flujos Mensuales'!B15/$A$3))</f>
        <v>10.733421694406694</v>
      </c>
      <c r="J15" s="118">
        <f t="shared" si="8"/>
        <v>0.0028</v>
      </c>
      <c r="K15" s="78">
        <f t="shared" si="0"/>
        <v>2576.0212066576064</v>
      </c>
      <c r="L15" s="67"/>
      <c r="M15" s="80">
        <f>VLOOKUP(A15,'CALCULADORA TECH E-2'!$C$29:$E$50,3,0)</f>
        <v>0</v>
      </c>
      <c r="N15" s="74">
        <f t="shared" si="5"/>
        <v>100</v>
      </c>
      <c r="O15" s="78">
        <f t="shared" si="2"/>
        <v>0</v>
      </c>
      <c r="P15" s="78">
        <f>IF(N14&gt;0.00000000001,N14*'CALCULADORA TECH E-2'!$E$15,0)</f>
        <v>0.4066</v>
      </c>
      <c r="Q15" s="78">
        <f t="shared" si="6"/>
        <v>0.4066</v>
      </c>
      <c r="R15" s="76">
        <f>IF($B15&lt;0,0,Q15/POWER(1+'CALCULADORA TECH E-2'!$E$14,'Flujos Mensuales'!$B15/$A$3))</f>
        <v>0.3936123808789048</v>
      </c>
      <c r="S15" s="76">
        <f>IF($B15&lt;0,0,Q15/POWER(1+'CALCULADORA TECH E-2'!$E$21,'Flujos Mensuales'!$B15/$A$3))</f>
        <v>0.39360752624798506</v>
      </c>
      <c r="T15" s="118">
        <f t="shared" si="9"/>
        <v>0.0136</v>
      </c>
      <c r="U15" s="119">
        <f t="shared" si="1"/>
        <v>94.46580629951642</v>
      </c>
      <c r="W15" s="15">
        <v>8</v>
      </c>
      <c r="X15" s="16"/>
    </row>
    <row r="16" spans="1:24" s="15" customFormat="1" ht="12.75">
      <c r="A16" s="19">
        <f>_XLL.FECHA.MES(A15,1)</f>
        <v>38504</v>
      </c>
      <c r="B16" s="81">
        <f>DAYS360('CALCULADORA TECH E-2'!$G$8,A16,0)</f>
        <v>270</v>
      </c>
      <c r="C16" s="83">
        <f>VLOOKUP(A16,'CALCULADORA TECH E-2'!$C$29:$E$50,2,0)</f>
        <v>0.1327961</v>
      </c>
      <c r="D16" s="74">
        <f t="shared" si="7"/>
        <v>4.365511000000007</v>
      </c>
      <c r="E16" s="78">
        <f t="shared" si="3"/>
        <v>13.27961</v>
      </c>
      <c r="F16" s="78">
        <f>IF(D15&gt;0.00000000001,D15*'CALCULADORA TECH E-2'!$D$15,0)</f>
        <v>0.08504948322000003</v>
      </c>
      <c r="G16" s="75">
        <f t="shared" si="4"/>
        <v>13.36465948322</v>
      </c>
      <c r="H16" s="76">
        <f>IF($B16&lt;0,0,G16/POWER(1+'CALCULADORA TECH E-2'!$D$14,'Flujos Mensuales'!$B16/$A$3))</f>
        <v>12.798613419067006</v>
      </c>
      <c r="I16" s="76">
        <f>IF(B16&lt;0,0,G16/POWER(1+'CALCULADORA TECH E-2'!$D$21,'Flujos Mensuales'!B16/$A$3))</f>
        <v>12.798613419067006</v>
      </c>
      <c r="J16" s="118">
        <f t="shared" si="8"/>
        <v>0.0007</v>
      </c>
      <c r="K16" s="78">
        <f t="shared" si="0"/>
        <v>3455.6256231480916</v>
      </c>
      <c r="L16" s="67"/>
      <c r="M16" s="80">
        <f>VLOOKUP(A16,'CALCULADORA TECH E-2'!$C$29:$E$50,3,0)</f>
        <v>0</v>
      </c>
      <c r="N16" s="74">
        <f t="shared" si="5"/>
        <v>100</v>
      </c>
      <c r="O16" s="78">
        <f t="shared" si="2"/>
        <v>0</v>
      </c>
      <c r="P16" s="78">
        <f>IF(N15&gt;0.00000000001,N15*'CALCULADORA TECH E-2'!$E$15,0)</f>
        <v>0.4066</v>
      </c>
      <c r="Q16" s="78">
        <f t="shared" si="6"/>
        <v>0.4066</v>
      </c>
      <c r="R16" s="76">
        <f>IF($B16&lt;0,0,Q16/POWER(1+'CALCULADORA TECH E-2'!$E$14,'Flujos Mensuales'!$B16/$A$3))</f>
        <v>0.39201837356847175</v>
      </c>
      <c r="S16" s="76">
        <f>IF($B16&lt;0,0,Q16/POWER(1+'CALCULADORA TECH E-2'!$E$21,'Flujos Mensuales'!$B16/$A$3))</f>
        <v>0.39201293423008776</v>
      </c>
      <c r="T16" s="118">
        <f t="shared" si="9"/>
        <v>0.0136</v>
      </c>
      <c r="U16" s="119">
        <f t="shared" si="1"/>
        <v>105.8434922421237</v>
      </c>
      <c r="W16" s="15">
        <v>9</v>
      </c>
      <c r="X16" s="16"/>
    </row>
    <row r="17" spans="1:24" s="15" customFormat="1" ht="12.75">
      <c r="A17" s="19">
        <f>_XLL.FECHA.MES(A16,1)</f>
        <v>38534</v>
      </c>
      <c r="B17" s="81">
        <f>DAYS360('CALCULADORA TECH E-2'!$G$8,A17,0)</f>
        <v>300</v>
      </c>
      <c r="C17" s="83">
        <f>VLOOKUP(A17,'CALCULADORA TECH E-2'!$C$29:$E$50,2,0)</f>
        <v>0.04365511</v>
      </c>
      <c r="D17" s="74">
        <f t="shared" si="7"/>
        <v>7.105427357601002E-15</v>
      </c>
      <c r="E17" s="78">
        <f t="shared" si="3"/>
        <v>4.365511</v>
      </c>
      <c r="F17" s="78">
        <f>IF(D16&gt;0.00000000001,D16*'CALCULADORA TECH E-2'!$D$15,0)</f>
        <v>0.02104176302000003</v>
      </c>
      <c r="G17" s="75">
        <f t="shared" si="4"/>
        <v>4.38655276302</v>
      </c>
      <c r="H17" s="76">
        <f>IF($B17&lt;0,0,G17/POWER(1+'CALCULADORA TECH E-2'!$D$14,'Flujos Mensuales'!$B17/$A$3))</f>
        <v>4.180613805768355</v>
      </c>
      <c r="I17" s="76">
        <f>IF(B17&lt;0,0,G17/POWER(1+'CALCULADORA TECH E-2'!$D$21,'Flujos Mensuales'!B17/$A$3))</f>
        <v>4.180613805768355</v>
      </c>
      <c r="J17" s="118">
        <f t="shared" si="8"/>
        <v>0</v>
      </c>
      <c r="K17" s="78">
        <f t="shared" si="0"/>
        <v>1254.1841417305066</v>
      </c>
      <c r="L17" s="67"/>
      <c r="M17" s="80">
        <f>VLOOKUP(A17,'CALCULADORA TECH E-2'!$C$29:$E$50,3,0)</f>
        <v>0.10539126</v>
      </c>
      <c r="N17" s="74">
        <f t="shared" si="5"/>
        <v>89.460874</v>
      </c>
      <c r="O17" s="78">
        <f t="shared" si="2"/>
        <v>10.539126</v>
      </c>
      <c r="P17" s="78">
        <f>IF(N16&gt;0.00000000001,N16*'CALCULADORA TECH E-2'!$E$15,0)</f>
        <v>0.4066</v>
      </c>
      <c r="Q17" s="78">
        <f t="shared" si="6"/>
        <v>10.945725999999999</v>
      </c>
      <c r="R17" s="76">
        <f>IF($B17&lt;0,0,Q17/POWER(1+'CALCULADORA TECH E-2'!$E$14,'Flujos Mensuales'!$B17/$A$3))</f>
        <v>10.510449567109678</v>
      </c>
      <c r="S17" s="76">
        <f>IF($B17&lt;0,0,Q17/POWER(1+'CALCULADORA TECH E-2'!$E$21,'Flujos Mensuales'!$B17/$A$3))</f>
        <v>10.510287528651087</v>
      </c>
      <c r="T17" s="118">
        <f t="shared" si="9"/>
        <v>0.0121</v>
      </c>
      <c r="U17" s="119">
        <f t="shared" si="1"/>
        <v>3153.0862585953264</v>
      </c>
      <c r="W17" s="16">
        <v>10</v>
      </c>
      <c r="X17" s="16"/>
    </row>
    <row r="18" spans="1:24" s="15" customFormat="1" ht="12.75">
      <c r="A18" s="19">
        <f>_XLL.FECHA.MES(A17,1)</f>
        <v>38565</v>
      </c>
      <c r="B18" s="81">
        <f>DAYS360('CALCULADORA TECH E-2'!$G$8,A18,0)</f>
        <v>330</v>
      </c>
      <c r="C18" s="83">
        <f>VLOOKUP(A18,'CALCULADORA TECH E-2'!$C$29:$E$50,2,0)</f>
        <v>0</v>
      </c>
      <c r="D18" s="74">
        <f t="shared" si="7"/>
        <v>7.105427357601002E-15</v>
      </c>
      <c r="E18" s="78">
        <f t="shared" si="3"/>
        <v>0</v>
      </c>
      <c r="F18" s="78">
        <f>IF(D17&gt;0.00000000001,D17*'CALCULADORA TECH E-2'!$D$15,0)</f>
        <v>0</v>
      </c>
      <c r="G18" s="78">
        <f aca="true" t="shared" si="10" ref="G11:G29">IF(B18&lt;1,0,F18+E18)</f>
        <v>0</v>
      </c>
      <c r="H18" s="76">
        <f>IF($B18&lt;0,0,G18/POWER(1+'CALCULADORA TECH E-2'!$D$14,'Flujos Mensuales'!$B18/$A$3))</f>
        <v>0</v>
      </c>
      <c r="I18" s="76">
        <f>IF(B18&lt;0,0,G18/POWER(1+'CALCULADORA TECH E-2'!$D$21,'Flujos Mensuales'!B18/$A$3))</f>
        <v>0</v>
      </c>
      <c r="J18" s="118">
        <f t="shared" si="8"/>
        <v>0</v>
      </c>
      <c r="K18" s="78">
        <f t="shared" si="0"/>
        <v>0</v>
      </c>
      <c r="L18" s="67"/>
      <c r="M18" s="80">
        <f>VLOOKUP(A18,'CALCULADORA TECH E-2'!$C$29:$E$50,3,0)</f>
        <v>0.15775717</v>
      </c>
      <c r="N18" s="74">
        <f t="shared" si="5"/>
        <v>73.685157</v>
      </c>
      <c r="O18" s="78">
        <f t="shared" si="2"/>
        <v>15.775717</v>
      </c>
      <c r="P18" s="78">
        <f>IF(N17&gt;0.00000000001,N17*'CALCULADORA TECH E-2'!$E$15,0)</f>
        <v>0.36374791368400006</v>
      </c>
      <c r="Q18" s="78">
        <f t="shared" si="6"/>
        <v>16.139464913684</v>
      </c>
      <c r="R18" s="76">
        <f>IF($B18&lt;0,0,Q18/POWER(1+'CALCULADORA TECH E-2'!$E$14,'Flujos Mensuales'!$B18/$A$3))</f>
        <v>15.43488948764632</v>
      </c>
      <c r="S18" s="76">
        <f>IF($B18&lt;0,0,Q18/POWER(1+'CALCULADORA TECH E-2'!$E$21,'Flujos Mensuales'!$B18/$A$3))</f>
        <v>15.434627734033123</v>
      </c>
      <c r="T18" s="118">
        <f t="shared" si="9"/>
        <v>0.01</v>
      </c>
      <c r="U18" s="119">
        <f t="shared" si="1"/>
        <v>5093.427152230931</v>
      </c>
      <c r="W18" s="15">
        <v>11</v>
      </c>
      <c r="X18" s="16"/>
    </row>
    <row r="19" spans="1:24" s="15" customFormat="1" ht="12.75">
      <c r="A19" s="19">
        <f>_XLL.FECHA.MES(A18,1)</f>
        <v>38596</v>
      </c>
      <c r="B19" s="81">
        <f>DAYS360('CALCULADORA TECH E-2'!$G$8,A19,0)</f>
        <v>360</v>
      </c>
      <c r="C19" s="83">
        <f>VLOOKUP(A19,'CALCULADORA TECH E-2'!$C$29:$E$50,2,0)</f>
        <v>0</v>
      </c>
      <c r="D19" s="74">
        <f t="shared" si="7"/>
        <v>7.105427357601002E-15</v>
      </c>
      <c r="E19" s="78">
        <f t="shared" si="3"/>
        <v>0</v>
      </c>
      <c r="F19" s="78">
        <f>IF(D18&gt;0.00000000001,D18*'CALCULADORA TECH E-2'!$D$15,0)</f>
        <v>0</v>
      </c>
      <c r="G19" s="78">
        <f t="shared" si="10"/>
        <v>0</v>
      </c>
      <c r="H19" s="76">
        <f>IF($B19&lt;0,0,G19/POWER(1+'CALCULADORA TECH E-2'!$D$14,'Flujos Mensuales'!$B19/$A$3))</f>
        <v>0</v>
      </c>
      <c r="I19" s="76">
        <f>IF(B19&lt;0,0,G19/POWER(1+'CALCULADORA TECH E-2'!$D$21,'Flujos Mensuales'!B19/$A$3))</f>
        <v>0</v>
      </c>
      <c r="J19" s="118">
        <f t="shared" si="8"/>
        <v>0</v>
      </c>
      <c r="K19" s="78">
        <f t="shared" si="0"/>
        <v>0</v>
      </c>
      <c r="L19" s="67"/>
      <c r="M19" s="80">
        <f>VLOOKUP(A19,'CALCULADORA TECH E-2'!$C$29:$E$50,3,0)</f>
        <v>0.09594529</v>
      </c>
      <c r="N19" s="74">
        <f t="shared" si="5"/>
        <v>64.09062800000001</v>
      </c>
      <c r="O19" s="78">
        <f t="shared" si="2"/>
        <v>9.594529</v>
      </c>
      <c r="P19" s="78">
        <f>IF(N18&gt;0.00000000001,N18*'CALCULADORA TECH E-2'!$E$15,0)</f>
        <v>0.29960384836200005</v>
      </c>
      <c r="Q19" s="78">
        <f t="shared" si="6"/>
        <v>9.894132848362</v>
      </c>
      <c r="R19" s="76">
        <f>IF($B19&lt;0,0,Q19/POWER(1+'CALCULADORA TECH E-2'!$E$14,'Flujos Mensuales'!$B19/$A$3))</f>
        <v>9.423881177599771</v>
      </c>
      <c r="S19" s="76">
        <f>IF($B19&lt;0,0,Q19/POWER(1+'CALCULADORA TECH E-2'!$E$21,'Flujos Mensuales'!$B19/$A$3))</f>
        <v>9.42370683352636</v>
      </c>
      <c r="T19" s="118">
        <f t="shared" si="9"/>
        <v>0.0087</v>
      </c>
      <c r="U19" s="119">
        <f t="shared" si="1"/>
        <v>3392.53446006949</v>
      </c>
      <c r="W19" s="15">
        <v>12</v>
      </c>
      <c r="X19" s="16"/>
    </row>
    <row r="20" spans="1:24" s="15" customFormat="1" ht="12.75">
      <c r="A20" s="19">
        <f>_XLL.FECHA.MES(A19,1)</f>
        <v>38626</v>
      </c>
      <c r="B20" s="81">
        <f>DAYS360('CALCULADORA TECH E-2'!$G$8,A20,0)</f>
        <v>390</v>
      </c>
      <c r="C20" s="83">
        <f>VLOOKUP(A20,'CALCULADORA TECH E-2'!$C$29:$E$50,2,0)</f>
        <v>0</v>
      </c>
      <c r="D20" s="74">
        <f t="shared" si="7"/>
        <v>7.105427357601002E-15</v>
      </c>
      <c r="E20" s="78">
        <f t="shared" si="3"/>
        <v>0</v>
      </c>
      <c r="F20" s="78">
        <f>IF(D19&gt;0.00000000001,D19*'CALCULADORA TECH E-2'!$D$15,0)</f>
        <v>0</v>
      </c>
      <c r="G20" s="78">
        <f t="shared" si="10"/>
        <v>0</v>
      </c>
      <c r="H20" s="76">
        <f>IF($B20&lt;0,0,G20/POWER(1+'CALCULADORA TECH E-2'!$D$14,'Flujos Mensuales'!$B20/$A$3))</f>
        <v>0</v>
      </c>
      <c r="I20" s="76">
        <f>IF(B20&lt;0,0,G20/POWER(1+'CALCULADORA TECH E-2'!$D$21,'Flujos Mensuales'!B20/$A$3))</f>
        <v>0</v>
      </c>
      <c r="J20" s="118">
        <f t="shared" si="8"/>
        <v>0</v>
      </c>
      <c r="K20" s="78">
        <f t="shared" si="0"/>
        <v>0</v>
      </c>
      <c r="L20" s="67"/>
      <c r="M20" s="80">
        <f>VLOOKUP(A20,'CALCULADORA TECH E-2'!$C$29:$E$50,3,0)</f>
        <v>0.10589771</v>
      </c>
      <c r="N20" s="74">
        <f t="shared" si="5"/>
        <v>53.50085700000001</v>
      </c>
      <c r="O20" s="78">
        <f t="shared" si="2"/>
        <v>10.589771</v>
      </c>
      <c r="P20" s="78">
        <f>IF(N19&gt;0.00000000001,N19*'CALCULADORA TECH E-2'!$E$15,0)</f>
        <v>0.26059249344800006</v>
      </c>
      <c r="Q20" s="78">
        <f t="shared" si="6"/>
        <v>10.850363493448</v>
      </c>
      <c r="R20" s="76">
        <f>IF($B20&lt;0,0,Q20/POWER(1+'CALCULADORA TECH E-2'!$E$14,'Flujos Mensuales'!$B20/$A$3))</f>
        <v>10.292811608061582</v>
      </c>
      <c r="S20" s="76">
        <f>IF($B20&lt;0,0,Q20/POWER(1+'CALCULADORA TECH E-2'!$E$21,'Flujos Mensuales'!$B20/$A$3))</f>
        <v>10.292605320433449</v>
      </c>
      <c r="T20" s="118">
        <f t="shared" si="9"/>
        <v>0.0073</v>
      </c>
      <c r="U20" s="119">
        <f t="shared" si="1"/>
        <v>4014.116074969045</v>
      </c>
      <c r="W20" s="16">
        <v>13</v>
      </c>
      <c r="X20" s="16"/>
    </row>
    <row r="21" spans="1:24" s="15" customFormat="1" ht="12.75">
      <c r="A21" s="19">
        <f>_XLL.FECHA.MES(A20,1)</f>
        <v>38657</v>
      </c>
      <c r="B21" s="81">
        <f>DAYS360('CALCULADORA TECH E-2'!$G$8,A21,0)</f>
        <v>420</v>
      </c>
      <c r="C21" s="83">
        <f>VLOOKUP(A21,'CALCULADORA TECH E-2'!$C$29:$E$50,2,0)</f>
        <v>0</v>
      </c>
      <c r="D21" s="74">
        <f t="shared" si="7"/>
        <v>7.105427357601002E-15</v>
      </c>
      <c r="E21" s="78">
        <f t="shared" si="3"/>
        <v>0</v>
      </c>
      <c r="F21" s="78">
        <f>IF(D20&gt;0.00000000001,D20*'CALCULADORA TECH E-2'!$D$15,0)</f>
        <v>0</v>
      </c>
      <c r="G21" s="78">
        <f t="shared" si="10"/>
        <v>0</v>
      </c>
      <c r="H21" s="76">
        <f>IF($B21&lt;0,0,G21/POWER(1+'CALCULADORA TECH E-2'!$D$14,'Flujos Mensuales'!$B21/$A$3))</f>
        <v>0</v>
      </c>
      <c r="I21" s="76">
        <f>IF(B21&lt;0,0,G21/POWER(1+'CALCULADORA TECH E-2'!$D$21,'Flujos Mensuales'!B21/$A$3))</f>
        <v>0</v>
      </c>
      <c r="J21" s="118">
        <f t="shared" si="8"/>
        <v>0</v>
      </c>
      <c r="K21" s="78">
        <f t="shared" si="0"/>
        <v>0</v>
      </c>
      <c r="L21" s="67"/>
      <c r="M21" s="80">
        <f>VLOOKUP(A21,'CALCULADORA TECH E-2'!$C$29:$E$50,3,0)</f>
        <v>0.10158528</v>
      </c>
      <c r="N21" s="74">
        <f t="shared" si="5"/>
        <v>43.34232900000001</v>
      </c>
      <c r="O21" s="78">
        <f t="shared" si="2"/>
        <v>10.158528</v>
      </c>
      <c r="P21" s="78">
        <f>IF(N20&gt;0.00000000001,N20*'CALCULADORA TECH E-2'!$E$15,0)</f>
        <v>0.21753448456200006</v>
      </c>
      <c r="Q21" s="78">
        <f t="shared" si="6"/>
        <v>10.376062484562</v>
      </c>
      <c r="R21" s="76">
        <f>IF($B21&lt;0,0,Q21/POWER(1+'CALCULADORA TECH E-2'!$E$14,'Flujos Mensuales'!$B21/$A$3))</f>
        <v>9.803022213124706</v>
      </c>
      <c r="S21" s="76">
        <f>IF($B21&lt;0,0,Q21/POWER(1+'CALCULADORA TECH E-2'!$E$21,'Flujos Mensuales'!$B21/$A$3))</f>
        <v>9.802810628797952</v>
      </c>
      <c r="T21" s="118">
        <f t="shared" si="9"/>
        <v>0.0059</v>
      </c>
      <c r="U21" s="119">
        <f t="shared" si="1"/>
        <v>4117.1804640951395</v>
      </c>
      <c r="W21" s="15">
        <v>14</v>
      </c>
      <c r="X21" s="16"/>
    </row>
    <row r="22" spans="1:24" s="15" customFormat="1" ht="12.75">
      <c r="A22" s="19">
        <f>_XLL.FECHA.MES(A21,1)</f>
        <v>38687</v>
      </c>
      <c r="B22" s="81">
        <f>DAYS360('CALCULADORA TECH E-2'!$G$8,A22,0)</f>
        <v>450</v>
      </c>
      <c r="C22" s="83">
        <f>VLOOKUP(A22,'CALCULADORA TECH E-2'!$C$29:$E$50,2,0)</f>
        <v>0</v>
      </c>
      <c r="D22" s="74">
        <f t="shared" si="7"/>
        <v>7.105427357601002E-15</v>
      </c>
      <c r="E22" s="78">
        <f t="shared" si="3"/>
        <v>0</v>
      </c>
      <c r="F22" s="78">
        <f>IF(D21&gt;0.00000000001,D21*'CALCULADORA TECH E-2'!$D$15,0)</f>
        <v>0</v>
      </c>
      <c r="G22" s="78">
        <f t="shared" si="10"/>
        <v>0</v>
      </c>
      <c r="H22" s="76">
        <f>IF($B22&lt;0,0,G22/POWER(1+'CALCULADORA TECH E-2'!$D$14,'Flujos Mensuales'!$B22/$A$3))</f>
        <v>0</v>
      </c>
      <c r="I22" s="76">
        <f>IF(B22&lt;0,0,G22/POWER(1+'CALCULADORA TECH E-2'!$D$21,'Flujos Mensuales'!B22/$A$3))</f>
        <v>0</v>
      </c>
      <c r="J22" s="118">
        <f t="shared" si="8"/>
        <v>0</v>
      </c>
      <c r="K22" s="78">
        <f t="shared" si="0"/>
        <v>0</v>
      </c>
      <c r="L22" s="67"/>
      <c r="M22" s="80">
        <f>VLOOKUP(A22,'CALCULADORA TECH E-2'!$C$29:$E$50,3,0)</f>
        <v>0.08574768</v>
      </c>
      <c r="N22" s="74">
        <f t="shared" si="5"/>
        <v>34.76756100000001</v>
      </c>
      <c r="O22" s="78">
        <f t="shared" si="2"/>
        <v>8.574768</v>
      </c>
      <c r="P22" s="78">
        <f>IF(N21&gt;0.00000000001,N21*'CALCULADORA TECH E-2'!$E$15,0)</f>
        <v>0.17622990971400004</v>
      </c>
      <c r="Q22" s="78">
        <f t="shared" si="6"/>
        <v>8.750997909714</v>
      </c>
      <c r="R22" s="76">
        <f>IF($B22&lt;0,0,Q22/POWER(1+'CALCULADORA TECH E-2'!$E$14,'Flujos Mensuales'!$B22/$A$3))</f>
        <v>8.234223683106277</v>
      </c>
      <c r="S22" s="76">
        <f>IF($B22&lt;0,0,Q22/POWER(1+'CALCULADORA TECH E-2'!$E$21,'Flujos Mensuales'!$B22/$A$3))</f>
        <v>8.234033264642886</v>
      </c>
      <c r="T22" s="118">
        <f t="shared" si="9"/>
        <v>0.0047</v>
      </c>
      <c r="U22" s="119">
        <f t="shared" si="1"/>
        <v>3705.3149690892983</v>
      </c>
      <c r="W22" s="15">
        <v>15</v>
      </c>
      <c r="X22" s="16"/>
    </row>
    <row r="23" spans="1:24" s="15" customFormat="1" ht="12.75">
      <c r="A23" s="19">
        <f>_XLL.FECHA.MES(A22,1)</f>
        <v>38718</v>
      </c>
      <c r="B23" s="81">
        <f>DAYS360('CALCULADORA TECH E-2'!$G$8,A23,0)</f>
        <v>480</v>
      </c>
      <c r="C23" s="83">
        <f>VLOOKUP(A23,'CALCULADORA TECH E-2'!$C$29:$E$50,2,0)</f>
        <v>0</v>
      </c>
      <c r="D23" s="74">
        <f t="shared" si="7"/>
        <v>7.105427357601002E-15</v>
      </c>
      <c r="E23" s="78">
        <f t="shared" si="3"/>
        <v>0</v>
      </c>
      <c r="F23" s="78">
        <f>IF(D22&gt;0.00000000001,D22*'CALCULADORA TECH E-2'!$D$15,0)</f>
        <v>0</v>
      </c>
      <c r="G23" s="78">
        <f t="shared" si="10"/>
        <v>0</v>
      </c>
      <c r="H23" s="76">
        <f>IF($B23&lt;0,0,G23/POWER(1+'CALCULADORA TECH E-2'!$D$14,'Flujos Mensuales'!$B23/$A$3))</f>
        <v>0</v>
      </c>
      <c r="I23" s="76">
        <f>IF(B23&lt;0,0,G23/POWER(1+'CALCULADORA TECH E-2'!$D$21,'Flujos Mensuales'!B23/$A$3))</f>
        <v>0</v>
      </c>
      <c r="J23" s="118">
        <f t="shared" si="8"/>
        <v>0</v>
      </c>
      <c r="K23" s="78">
        <f t="shared" si="0"/>
        <v>0</v>
      </c>
      <c r="L23" s="67"/>
      <c r="M23" s="80">
        <f>VLOOKUP(A23,'CALCULADORA TECH E-2'!$C$29:$E$50,3,0)</f>
        <v>0.09048538</v>
      </c>
      <c r="N23" s="74">
        <f t="shared" si="5"/>
        <v>25.719023000000007</v>
      </c>
      <c r="O23" s="78">
        <f t="shared" si="2"/>
        <v>9.048538</v>
      </c>
      <c r="P23" s="78">
        <f>IF(N22&gt;0.00000000001,N22*'CALCULADORA TECH E-2'!$E$15,0)</f>
        <v>0.14136490302600005</v>
      </c>
      <c r="Q23" s="78">
        <f t="shared" si="6"/>
        <v>9.189902903026</v>
      </c>
      <c r="R23" s="76">
        <f>IF($B23&lt;0,0,Q23/POWER(1+'CALCULADORA TECH E-2'!$E$14,'Flujos Mensuales'!$B23/$A$3))</f>
        <v>8.612191440470378</v>
      </c>
      <c r="S23" s="76">
        <f>IF($B23&lt;0,0,Q23/POWER(1+'CALCULADORA TECH E-2'!$E$21,'Flujos Mensuales'!$B23/$A$3))</f>
        <v>8.611979004301917</v>
      </c>
      <c r="T23" s="118">
        <f t="shared" si="9"/>
        <v>0.0035</v>
      </c>
      <c r="U23" s="119">
        <f t="shared" si="1"/>
        <v>4133.74992206492</v>
      </c>
      <c r="W23" s="16">
        <v>16</v>
      </c>
      <c r="X23" s="16"/>
    </row>
    <row r="24" spans="1:24" s="15" customFormat="1" ht="12.75">
      <c r="A24" s="19">
        <f>_XLL.FECHA.MES(A23,1)</f>
        <v>38749</v>
      </c>
      <c r="B24" s="81">
        <f>DAYS360('CALCULADORA TECH E-2'!$G$8,A24,0)</f>
        <v>510</v>
      </c>
      <c r="C24" s="83">
        <f>VLOOKUP(A24,'CALCULADORA TECH E-2'!$C$29:$E$50,2,0)</f>
        <v>0</v>
      </c>
      <c r="D24" s="74">
        <f t="shared" si="7"/>
        <v>7.105427357601002E-15</v>
      </c>
      <c r="E24" s="78">
        <f t="shared" si="3"/>
        <v>0</v>
      </c>
      <c r="F24" s="78">
        <f>IF(D23&gt;0.00000000001,D23*'CALCULADORA TECH E-2'!$D$15,0)</f>
        <v>0</v>
      </c>
      <c r="G24" s="78">
        <f t="shared" si="10"/>
        <v>0</v>
      </c>
      <c r="H24" s="76">
        <f>IF($B24&lt;0,0,G24/POWER(1+'CALCULADORA TECH E-2'!$D$14,'Flujos Mensuales'!$B24/$A$3))</f>
        <v>0</v>
      </c>
      <c r="I24" s="76">
        <f>IF(B24&lt;0,0,G24/POWER(1+'CALCULADORA TECH E-2'!$D$21,'Flujos Mensuales'!B24/$A$3))</f>
        <v>0</v>
      </c>
      <c r="J24" s="118">
        <f t="shared" si="8"/>
        <v>0</v>
      </c>
      <c r="K24" s="78">
        <f t="shared" si="0"/>
        <v>0</v>
      </c>
      <c r="L24" s="67"/>
      <c r="M24" s="80">
        <f>VLOOKUP(A24,'CALCULADORA TECH E-2'!$C$29:$E$50,3,0)</f>
        <v>0.08609307</v>
      </c>
      <c r="N24" s="74">
        <f t="shared" si="5"/>
        <v>17.109716000000006</v>
      </c>
      <c r="O24" s="78">
        <f t="shared" si="2"/>
        <v>8.609307</v>
      </c>
      <c r="P24" s="78">
        <f>IF(N23&gt;0.00000000001,N23*'CALCULADORA TECH E-2'!$E$15,0)</f>
        <v>0.10457354751800003</v>
      </c>
      <c r="Q24" s="78">
        <f t="shared" si="6"/>
        <v>8.713880547517999</v>
      </c>
      <c r="R24" s="76">
        <f>IF($B24&lt;0,0,Q24/POWER(1+'CALCULADORA TECH E-2'!$E$14,'Flujos Mensuales'!$B24/$A$3))</f>
        <v>8.133023489158058</v>
      </c>
      <c r="S24" s="76">
        <f>IF($B24&lt;0,0,Q24/POWER(1+'CALCULADORA TECH E-2'!$E$21,'Flujos Mensuales'!$B24/$A$3))</f>
        <v>8.132810334211673</v>
      </c>
      <c r="T24" s="118">
        <f t="shared" si="9"/>
        <v>0.0023</v>
      </c>
      <c r="U24" s="119">
        <f t="shared" si="1"/>
        <v>4147.733270447953</v>
      </c>
      <c r="W24" s="15">
        <v>17</v>
      </c>
      <c r="X24" s="16"/>
    </row>
    <row r="25" spans="1:24" s="15" customFormat="1" ht="12.75">
      <c r="A25" s="19">
        <f>_XLL.FECHA.MES(A24,1)</f>
        <v>38777</v>
      </c>
      <c r="B25" s="81">
        <f>DAYS360('CALCULADORA TECH E-2'!$G$8,A25,0)</f>
        <v>540</v>
      </c>
      <c r="C25" s="83">
        <f>VLOOKUP(A25,'CALCULADORA TECH E-2'!$C$29:$E$50,2,0)</f>
        <v>0</v>
      </c>
      <c r="D25" s="74">
        <f t="shared" si="7"/>
        <v>7.105427357601002E-15</v>
      </c>
      <c r="E25" s="78">
        <f t="shared" si="3"/>
        <v>0</v>
      </c>
      <c r="F25" s="78">
        <f>IF(D24&gt;0.00000000001,D24*'CALCULADORA TECH E-2'!$D$15,0)</f>
        <v>0</v>
      </c>
      <c r="G25" s="78">
        <f t="shared" si="10"/>
        <v>0</v>
      </c>
      <c r="H25" s="76">
        <f>IF($B25&lt;0,0,G25/POWER(1+'CALCULADORA TECH E-2'!$D$14,'Flujos Mensuales'!$B25/$A$3))</f>
        <v>0</v>
      </c>
      <c r="I25" s="76">
        <f>IF(B25&lt;0,0,G25/POWER(1+'CALCULADORA TECH E-2'!$D$21,'Flujos Mensuales'!B25/$A$3))</f>
        <v>0</v>
      </c>
      <c r="J25" s="118">
        <f t="shared" si="8"/>
        <v>0</v>
      </c>
      <c r="K25" s="78">
        <f t="shared" si="0"/>
        <v>0</v>
      </c>
      <c r="L25" s="67"/>
      <c r="M25" s="80">
        <f>VLOOKUP(A25,'CALCULADORA TECH E-2'!$C$29:$E$50,3,0)</f>
        <v>0.06103368</v>
      </c>
      <c r="N25" s="74">
        <f t="shared" si="5"/>
        <v>11.006348000000006</v>
      </c>
      <c r="O25" s="78">
        <f t="shared" si="2"/>
        <v>6.103368</v>
      </c>
      <c r="P25" s="78">
        <f>IF(N24&gt;0.00000000001,N24*'CALCULADORA TECH E-2'!$E$15,0)</f>
        <v>0.06956810525600003</v>
      </c>
      <c r="Q25" s="78">
        <f t="shared" si="6"/>
        <v>6.1729361052559995</v>
      </c>
      <c r="R25" s="76">
        <f>IF($B25&lt;0,0,Q25/POWER(1+'CALCULADORA TECH E-2'!$E$14,'Flujos Mensuales'!$B25/$A$3))</f>
        <v>5.738123327077526</v>
      </c>
      <c r="S25" s="76">
        <f>IF($B25&lt;0,0,Q25/POWER(1+'CALCULADORA TECH E-2'!$E$21,'Flujos Mensuales'!$B25/$A$3))</f>
        <v>5.737964092816913</v>
      </c>
      <c r="T25" s="118">
        <f t="shared" si="9"/>
        <v>0.0015</v>
      </c>
      <c r="U25" s="119">
        <f t="shared" si="1"/>
        <v>3098.500610121133</v>
      </c>
      <c r="W25" s="15">
        <v>18</v>
      </c>
      <c r="X25" s="16"/>
    </row>
    <row r="26" spans="1:23" s="15" customFormat="1" ht="12.75">
      <c r="A26" s="19">
        <f>_XLL.FECHA.MES(A25,1)</f>
        <v>38808</v>
      </c>
      <c r="B26" s="81">
        <f>DAYS360('CALCULADORA TECH E-2'!$G$8,A26,0)</f>
        <v>570</v>
      </c>
      <c r="C26" s="83">
        <f>VLOOKUP(A26,'CALCULADORA TECH E-2'!$C$29:$E$50,2,0)</f>
        <v>0</v>
      </c>
      <c r="D26" s="74">
        <f t="shared" si="7"/>
        <v>7.105427357601002E-15</v>
      </c>
      <c r="E26" s="78">
        <f t="shared" si="3"/>
        <v>0</v>
      </c>
      <c r="F26" s="78">
        <f>IF(D25&gt;0.00000000001,D25*'CALCULADORA TECH E-2'!$D$15,0)</f>
        <v>0</v>
      </c>
      <c r="G26" s="78">
        <f t="shared" si="10"/>
        <v>0</v>
      </c>
      <c r="H26" s="76">
        <f>IF($B26&lt;0,0,G26/POWER(1+'CALCULADORA TECH E-2'!$D$14,'Flujos Mensuales'!$B26/$A$3))</f>
        <v>0</v>
      </c>
      <c r="I26" s="76">
        <f>IF(B26&lt;0,0,G26/POWER(1+'CALCULADORA TECH E-2'!$D$21,'Flujos Mensuales'!B26/$A$3))</f>
        <v>0</v>
      </c>
      <c r="J26" s="118">
        <f t="shared" si="8"/>
        <v>0</v>
      </c>
      <c r="K26" s="78">
        <f t="shared" si="0"/>
        <v>0</v>
      </c>
      <c r="L26" s="67"/>
      <c r="M26" s="80">
        <f>VLOOKUP(A26,'CALCULADORA TECH E-2'!$C$29:$E$50,3,0)</f>
        <v>0.05579928</v>
      </c>
      <c r="N26" s="74">
        <f t="shared" si="5"/>
        <v>5.4264200000000065</v>
      </c>
      <c r="O26" s="78">
        <f t="shared" si="2"/>
        <v>5.579928</v>
      </c>
      <c r="P26" s="78">
        <f>IF(N25&gt;0.00000000001,N25*'CALCULADORA TECH E-2'!$E$15,0)</f>
        <v>0.04475181096800003</v>
      </c>
      <c r="Q26" s="78">
        <f t="shared" si="6"/>
        <v>5.624679810968</v>
      </c>
      <c r="R26" s="76">
        <f>IF($B26&lt;0,0,Q26/POWER(1+'CALCULADORA TECH E-2'!$E$14,'Flujos Mensuales'!$B26/$A$3))</f>
        <v>5.207311686594659</v>
      </c>
      <c r="S26" s="76">
        <f>IF($B26&lt;0,0,Q26/POWER(1+'CALCULADORA TECH E-2'!$E$21,'Flujos Mensuales'!$B26/$A$3))</f>
        <v>5.207159154592126</v>
      </c>
      <c r="T26" s="118">
        <f t="shared" si="9"/>
        <v>0.0007</v>
      </c>
      <c r="U26" s="119">
        <f t="shared" si="1"/>
        <v>2968.0807181175114</v>
      </c>
      <c r="W26" s="16">
        <v>19</v>
      </c>
    </row>
    <row r="27" spans="1:23" s="15" customFormat="1" ht="12.75">
      <c r="A27" s="19">
        <f>_XLL.FECHA.MES(A26,1)</f>
        <v>38838</v>
      </c>
      <c r="B27" s="81">
        <f>DAYS360('CALCULADORA TECH E-2'!$G$8,A27,0)</f>
        <v>600</v>
      </c>
      <c r="C27" s="83">
        <f>VLOOKUP(A27,'CALCULADORA TECH E-2'!$C$29:$E$50,2,0)</f>
        <v>0</v>
      </c>
      <c r="D27" s="74">
        <f t="shared" si="7"/>
        <v>7.105427357601002E-15</v>
      </c>
      <c r="E27" s="78">
        <f t="shared" si="3"/>
        <v>0</v>
      </c>
      <c r="F27" s="78">
        <f>IF(D26&gt;0.00000000001,D26*'CALCULADORA TECH E-2'!$D$15,0)</f>
        <v>0</v>
      </c>
      <c r="G27" s="78">
        <f t="shared" si="10"/>
        <v>0</v>
      </c>
      <c r="H27" s="76">
        <f>IF($B27&lt;0,0,G27/POWER(1+'CALCULADORA TECH E-2'!$D$14,'Flujos Mensuales'!$B27/$A$3))</f>
        <v>0</v>
      </c>
      <c r="I27" s="76">
        <f>IF(B27&lt;0,0,G27/POWER(1+'CALCULADORA TECH E-2'!$D$21,'Flujos Mensuales'!B27/$A$3))</f>
        <v>0</v>
      </c>
      <c r="J27" s="118">
        <f t="shared" si="8"/>
        <v>0</v>
      </c>
      <c r="K27" s="78">
        <f t="shared" si="0"/>
        <v>0</v>
      </c>
      <c r="L27" s="67"/>
      <c r="M27" s="80">
        <f>VLOOKUP(A27,'CALCULADORA TECH E-2'!$C$29:$E$50,3,0)</f>
        <v>0.02861986</v>
      </c>
      <c r="N27" s="74">
        <f t="shared" si="5"/>
        <v>2.5644340000000065</v>
      </c>
      <c r="O27" s="78">
        <f t="shared" si="2"/>
        <v>2.861986</v>
      </c>
      <c r="P27" s="78">
        <f>IF(N26&gt;0.00000000001,N26*'CALCULADORA TECH E-2'!$E$15,0)</f>
        <v>0.022063823720000028</v>
      </c>
      <c r="Q27" s="78">
        <f t="shared" si="6"/>
        <v>2.88404982372</v>
      </c>
      <c r="R27" s="76">
        <f>IF($B27&lt;0,0,Q27/POWER(1+'CALCULADORA TECH E-2'!$E$14,'Flujos Mensuales'!$B27/$A$3))</f>
        <v>2.659231822672861</v>
      </c>
      <c r="S27" s="76">
        <f>IF($B27&lt;0,0,Q27/POWER(1+'CALCULADORA TECH E-2'!$E$21,'Flujos Mensuales'!$B27/$A$3))</f>
        <v>2.6591498291289537</v>
      </c>
      <c r="T27" s="118">
        <f t="shared" si="9"/>
        <v>0.0003</v>
      </c>
      <c r="U27" s="119">
        <f t="shared" si="1"/>
        <v>1595.4898974773723</v>
      </c>
      <c r="W27" s="15">
        <v>20</v>
      </c>
    </row>
    <row r="28" spans="1:23" s="15" customFormat="1" ht="12.75">
      <c r="A28" s="19">
        <f>_XLL.FECHA.MES(A27,1)</f>
        <v>38869</v>
      </c>
      <c r="B28" s="81">
        <f>DAYS360('CALCULADORA TECH E-2'!$G$8,A28,0)</f>
        <v>630</v>
      </c>
      <c r="C28" s="83">
        <f>VLOOKUP(A28,'CALCULADORA TECH E-2'!$C$29:$E$50,2,0)</f>
        <v>0</v>
      </c>
      <c r="D28" s="74">
        <f t="shared" si="7"/>
        <v>7.105427357601002E-15</v>
      </c>
      <c r="E28" s="78">
        <f t="shared" si="3"/>
        <v>0</v>
      </c>
      <c r="F28" s="78">
        <f>IF(D27&gt;0.00000000001,D27*'CALCULADORA TECH E-2'!$D$15,0)</f>
        <v>0</v>
      </c>
      <c r="G28" s="78">
        <f t="shared" si="10"/>
        <v>0</v>
      </c>
      <c r="H28" s="76">
        <f>IF($B28&lt;0,0,G28/POWER(1+'CALCULADORA TECH E-2'!$D$14,'Flujos Mensuales'!$B28/$A$3))</f>
        <v>0</v>
      </c>
      <c r="I28" s="76">
        <f>IF(B28&lt;0,0,G28/POWER(1+'CALCULADORA TECH E-2'!$D$21,'Flujos Mensuales'!B28/$A$3))</f>
        <v>0</v>
      </c>
      <c r="J28" s="118">
        <f t="shared" si="8"/>
        <v>0</v>
      </c>
      <c r="K28" s="78">
        <f t="shared" si="0"/>
        <v>0</v>
      </c>
      <c r="L28" s="67"/>
      <c r="M28" s="80">
        <f>VLOOKUP(A28,'CALCULADORA TECH E-2'!$C$29:$E$50,3,0)</f>
        <v>0.01736336</v>
      </c>
      <c r="N28" s="74">
        <f t="shared" si="5"/>
        <v>0.8280980000000064</v>
      </c>
      <c r="O28" s="78">
        <f t="shared" si="2"/>
        <v>1.736336</v>
      </c>
      <c r="P28" s="78">
        <f>IF(N27&gt;0.00000000001,N27*'CALCULADORA TECH E-2'!$E$15,0)</f>
        <v>0.010426988644000027</v>
      </c>
      <c r="Q28" s="78">
        <f t="shared" si="6"/>
        <v>1.7467629886440001</v>
      </c>
      <c r="R28" s="76">
        <f>IF($B28&lt;0,0,Q28/POWER(1+'CALCULADORA TECH E-2'!$E$14,'Flujos Mensuales'!$B28/$A$3))</f>
        <v>1.604076564239865</v>
      </c>
      <c r="S28" s="76">
        <f>IF($B28&lt;0,0,Q28/POWER(1+'CALCULADORA TECH E-2'!$E$21,'Flujos Mensuales'!$B28/$A$3))</f>
        <v>1.604024631944727</v>
      </c>
      <c r="T28" s="118">
        <f t="shared" si="9"/>
        <v>0.0001</v>
      </c>
      <c r="U28" s="119">
        <f t="shared" si="1"/>
        <v>1010.5355181251781</v>
      </c>
      <c r="W28" s="15">
        <v>21</v>
      </c>
    </row>
    <row r="29" spans="1:24" s="115" customFormat="1" ht="12.75">
      <c r="A29" s="106">
        <f>_XLL.FECHA.MES(A28,1)</f>
        <v>38899</v>
      </c>
      <c r="B29" s="107">
        <f>DAYS360('CALCULADORA TECH E-2'!$G$8,A29,0)</f>
        <v>660</v>
      </c>
      <c r="C29" s="108">
        <f>VLOOKUP(A29,'CALCULADORA TECH E-2'!$C$29:$E$50,2,0)</f>
        <v>0</v>
      </c>
      <c r="D29" s="109">
        <f t="shared" si="7"/>
        <v>7.105427357601002E-15</v>
      </c>
      <c r="E29" s="110">
        <f t="shared" si="3"/>
        <v>0</v>
      </c>
      <c r="F29" s="110">
        <f>IF(D28&gt;0.00000000001,D28*'CALCULADORA TECH E-2'!$D$15,0)</f>
        <v>0</v>
      </c>
      <c r="G29" s="110">
        <f t="shared" si="10"/>
        <v>0</v>
      </c>
      <c r="H29" s="111">
        <f>IF($B29&lt;0,0,G29/POWER(1+'CALCULADORA TECH E-2'!$D$14,'Flujos Mensuales'!$B29/$A$3))</f>
        <v>0</v>
      </c>
      <c r="I29" s="111">
        <f>IF(B29&lt;0,0,G29/POWER(1+'CALCULADORA TECH E-2'!$D$21,'Flujos Mensuales'!B29/$A$3))</f>
        <v>0</v>
      </c>
      <c r="J29" s="112">
        <f t="shared" si="8"/>
        <v>0</v>
      </c>
      <c r="K29" s="110">
        <f t="shared" si="0"/>
        <v>0</v>
      </c>
      <c r="L29" s="123"/>
      <c r="M29" s="113">
        <f>VLOOKUP(A29,'CALCULADORA TECH E-2'!$C$29:$E$50,3,0)</f>
        <v>0.00828098</v>
      </c>
      <c r="N29" s="109">
        <f t="shared" si="5"/>
        <v>6.439293542825908E-15</v>
      </c>
      <c r="O29" s="110">
        <f t="shared" si="2"/>
        <v>0.828098</v>
      </c>
      <c r="P29" s="110">
        <f>IF(N28&gt;0.00000000001,N28*'CALCULADORA TECH E-2'!$E$15,0)</f>
        <v>0.003367046468000026</v>
      </c>
      <c r="Q29" s="110">
        <f t="shared" si="6"/>
        <v>0.831465046468</v>
      </c>
      <c r="R29" s="111">
        <f>IF($B29&lt;0,0,Q29/POWER(1+'CALCULADORA TECH E-2'!$E$14,'Flujos Mensuales'!$B29/$A$3))</f>
        <v>0.7604537071197428</v>
      </c>
      <c r="S29" s="111">
        <f>IF($B29&lt;0,0,Q29/POWER(1+'CALCULADORA TECH E-2'!$E$21,'Flujos Mensuales'!$B29/$A$3))</f>
        <v>0.7604279149275989</v>
      </c>
      <c r="T29" s="112">
        <f t="shared" si="9"/>
        <v>0</v>
      </c>
      <c r="U29" s="114">
        <f t="shared" si="1"/>
        <v>501.88242385221525</v>
      </c>
      <c r="W29" s="116">
        <v>22</v>
      </c>
      <c r="X29" s="116">
        <v>0</v>
      </c>
    </row>
    <row r="30" spans="1:24" s="15" customFormat="1" ht="12.75">
      <c r="A30" s="19" t="s">
        <v>47</v>
      </c>
      <c r="B30" s="121"/>
      <c r="C30" s="129">
        <f>SUM(C22:C29)</f>
        <v>0</v>
      </c>
      <c r="D30" s="74"/>
      <c r="E30" s="78"/>
      <c r="F30" s="78"/>
      <c r="G30" s="78"/>
      <c r="H30" s="76"/>
      <c r="I30" s="76"/>
      <c r="J30" s="78"/>
      <c r="K30" s="78"/>
      <c r="L30" s="122"/>
      <c r="M30" s="129">
        <v>0</v>
      </c>
      <c r="N30" s="74"/>
      <c r="O30" s="78"/>
      <c r="P30" s="78"/>
      <c r="Q30" s="78"/>
      <c r="R30" s="76"/>
      <c r="S30" s="76"/>
      <c r="T30" s="78"/>
      <c r="U30" s="78"/>
      <c r="X30" s="16"/>
    </row>
    <row r="31" spans="1:21" ht="12.75">
      <c r="A31" s="14"/>
      <c r="B31" s="17"/>
      <c r="C31" s="10"/>
      <c r="E31" s="11"/>
      <c r="G31" s="3"/>
      <c r="H31" s="17"/>
      <c r="I31" s="17"/>
      <c r="J31" s="12"/>
      <c r="K31" s="12"/>
      <c r="M31" s="79"/>
      <c r="N31" s="73"/>
      <c r="O31" s="75"/>
      <c r="P31" s="78"/>
      <c r="Q31" s="75"/>
      <c r="R31" s="76"/>
      <c r="S31" s="76"/>
      <c r="T31" s="75"/>
      <c r="U31" s="12"/>
    </row>
    <row r="32" spans="6:23" ht="12.75">
      <c r="F32" s="15"/>
      <c r="G32" s="15"/>
      <c r="H32" s="136">
        <f>SUM(H7:H29)</f>
        <v>99.99993911477995</v>
      </c>
      <c r="I32" s="136">
        <f>SUM(I7:I29)</f>
        <v>99.99993911477995</v>
      </c>
      <c r="K32" s="91">
        <f>SUM(K7:K29)/I32</f>
        <v>173.01566334766162</v>
      </c>
      <c r="M32" s="79"/>
      <c r="N32" s="73"/>
      <c r="O32" s="75"/>
      <c r="P32" s="78"/>
      <c r="Q32" s="75"/>
      <c r="R32" s="76">
        <f>SUM(R7:R29)</f>
        <v>99.99982015597611</v>
      </c>
      <c r="S32" s="76">
        <f>SUM(S7:S29)</f>
        <v>99.99768728968081</v>
      </c>
      <c r="T32" s="75"/>
      <c r="U32" s="91">
        <f>SUM(U7:U29)/S32</f>
        <v>415.03989995376344</v>
      </c>
      <c r="W32" s="13"/>
    </row>
    <row r="33" spans="1:21" ht="12.75">
      <c r="A33" s="15" t="s">
        <v>14</v>
      </c>
      <c r="B33" s="15"/>
      <c r="C33" s="131">
        <f>SUMPRODUCT(C7:C17,$W$7:$W$17)</f>
        <v>5.831718169999999</v>
      </c>
      <c r="D33" s="131" t="s">
        <v>48</v>
      </c>
      <c r="F33" s="15" t="s">
        <v>19</v>
      </c>
      <c r="G33" s="15"/>
      <c r="H33" s="136">
        <f>H32-D40</f>
        <v>99.99993911477995</v>
      </c>
      <c r="I33" s="136">
        <f>I32-D40</f>
        <v>99.99993911477995</v>
      </c>
      <c r="J33" s="1" t="s">
        <v>39</v>
      </c>
      <c r="K33" s="92">
        <f>K32/360</f>
        <v>0.4805990648546156</v>
      </c>
      <c r="M33" s="131">
        <f>SUMPRODUCT(M7:M29,$W$7:$W$29)</f>
        <v>14.21501445</v>
      </c>
      <c r="N33" s="131" t="s">
        <v>48</v>
      </c>
      <c r="O33" s="75"/>
      <c r="P33" s="78" t="s">
        <v>19</v>
      </c>
      <c r="Q33" s="75"/>
      <c r="R33" s="76">
        <f>R32-N40</f>
        <v>99.99982015597611</v>
      </c>
      <c r="S33" s="76">
        <f>S32-N40</f>
        <v>99.99768728968081</v>
      </c>
      <c r="T33" s="133" t="s">
        <v>39</v>
      </c>
      <c r="U33" s="92">
        <f>U32/360</f>
        <v>1.1528886109826761</v>
      </c>
    </row>
    <row r="34" spans="1:21" ht="12.75">
      <c r="A34" s="15" t="s">
        <v>14</v>
      </c>
      <c r="C34" s="130">
        <f>C30</f>
        <v>0</v>
      </c>
      <c r="D34" s="18" t="s">
        <v>49</v>
      </c>
      <c r="J34" s="1" t="s">
        <v>38</v>
      </c>
      <c r="K34" s="92">
        <f>K33/(1+'CALCULADORA TECH E-2'!D21)</f>
        <v>0.45365212842610503</v>
      </c>
      <c r="M34" s="130" t="e">
        <f>SUMPRODUCT(M29:M29,$X$30:$X$30)/M30</f>
        <v>#VALUE!</v>
      </c>
      <c r="N34" s="18" t="s">
        <v>49</v>
      </c>
      <c r="O34" s="75"/>
      <c r="P34" s="78"/>
      <c r="Q34" s="75"/>
      <c r="R34" s="76"/>
      <c r="S34" s="76"/>
      <c r="T34" s="133" t="s">
        <v>38</v>
      </c>
      <c r="U34" s="92">
        <f>U33/(1+'CALCULADORA TECH E-2'!E21)</f>
        <v>1.098073418673654</v>
      </c>
    </row>
    <row r="35" spans="9:21" ht="12.75">
      <c r="I35" s="52"/>
      <c r="M35" s="79"/>
      <c r="N35" s="73"/>
      <c r="O35" s="75"/>
      <c r="P35" s="78"/>
      <c r="Q35" s="75"/>
      <c r="R35" s="76"/>
      <c r="S35" s="76"/>
      <c r="T35" s="75"/>
      <c r="U35" s="75"/>
    </row>
    <row r="36" spans="2:21" ht="12.75">
      <c r="B36" s="1" t="s">
        <v>15</v>
      </c>
      <c r="C36" s="1"/>
      <c r="M36" s="79"/>
      <c r="N36" s="73"/>
      <c r="O36" s="75"/>
      <c r="P36" s="78"/>
      <c r="Q36" s="75"/>
      <c r="R36" s="76"/>
      <c r="S36" s="76"/>
      <c r="T36" s="75"/>
      <c r="U36" s="75"/>
    </row>
    <row r="37" spans="3:21" s="15" customFormat="1" ht="12.75">
      <c r="C37" s="131"/>
      <c r="D37" s="131"/>
      <c r="M37" s="80"/>
      <c r="N37" s="74"/>
      <c r="O37" s="78"/>
      <c r="P37" s="78"/>
      <c r="Q37" s="78"/>
      <c r="R37" s="76"/>
      <c r="S37" s="76"/>
      <c r="T37" s="78"/>
      <c r="U37" s="78"/>
    </row>
    <row r="38" spans="2:21" s="15" customFormat="1" ht="12.75">
      <c r="B38" s="15" t="s">
        <v>16</v>
      </c>
      <c r="C38" s="131"/>
      <c r="D38" s="135">
        <f>VLOOKUP('CALCULADORA TECH E-2'!$G$8,'Flujos Mensuales'!$A$7:J29,10,1)</f>
        <v>0.0161</v>
      </c>
      <c r="M38" s="15" t="s">
        <v>16</v>
      </c>
      <c r="N38" s="15">
        <f>VLOOKUP('CALCULADORA TECH E-2'!$G$8,'Flujos Mensuales'!$A$7:T29,20,1)</f>
        <v>0.01360888888888889</v>
      </c>
      <c r="O38" s="78"/>
      <c r="P38" s="78"/>
      <c r="Q38" s="78"/>
      <c r="R38" s="76"/>
      <c r="S38" s="76"/>
      <c r="T38" s="78"/>
      <c r="U38" s="78"/>
    </row>
    <row r="39" spans="2:21" s="15" customFormat="1" ht="12.75">
      <c r="B39" s="15" t="s">
        <v>17</v>
      </c>
      <c r="C39" s="131"/>
      <c r="D39" s="134">
        <f>IF(IF(AND('CALCULADORA TECH E-2'!$G$8+1&gt;'Flujos Mensuales'!$A$7,'CALCULADORA TECH E-2'!$G$8-1&lt;'Flujos Mensuales'!$A$10),DAYS360('CALCULADORA TECH E-2'!$G$7,'CALCULADORA TECH E-2'!$G$8,0),DAYS360('CALCULADORA TECH E-2'!$G$9,'CALCULADORA TECH E-2'!$G$8,0))=90,0,IF(AND('CALCULADORA TECH E-2'!$G$8+1&gt;'Flujos Mensuales'!$A$7,'CALCULADORA TECH E-2'!$G$8-1&lt;'Flujos Mensuales'!$A$10),DAYS360('CALCULADORA TECH E-2'!$G$7,'CALCULADORA TECH E-2'!$G$8,0),DAYS360('CALCULADORA TECH E-2'!$G$9,'CALCULADORA TECH E-2'!$G$8,0)))</f>
        <v>0</v>
      </c>
      <c r="H39" s="132"/>
      <c r="M39" s="15" t="s">
        <v>17</v>
      </c>
      <c r="N39" s="134">
        <f>IF(IF(AND('CALCULADORA TECH E-2'!$G$8+1&gt;'Flujos Mensuales'!$A$7,'CALCULADORA TECH E-2'!$G$8-1&lt;'Flujos Mensuales'!$A$10),DAYS360('CALCULADORA TECH E-2'!$G$7,'CALCULADORA TECH E-2'!$G$8,0),DAYS360('CALCULADORA TECH E-2'!$G$9,'CALCULADORA TECH E-2'!$G$8,0))=90,0,IF(AND('CALCULADORA TECH E-2'!$G$8+1&gt;'Flujos Mensuales'!$A$7,'CALCULADORA TECH E-2'!$G$8-1&lt;'Flujos Mensuales'!$A$10),DAYS360('CALCULADORA TECH E-2'!$G$7,'CALCULADORA TECH E-2'!$G$8,0),DAYS360('CALCULADORA TECH E-2'!$G$9,'CALCULADORA TECH E-2'!$G$8,0)))</f>
        <v>0</v>
      </c>
      <c r="O39" s="78"/>
      <c r="P39" s="78"/>
      <c r="Q39" s="78"/>
      <c r="R39" s="76"/>
      <c r="S39" s="76"/>
      <c r="T39" s="78"/>
      <c r="U39" s="78"/>
    </row>
    <row r="40" spans="2:21" s="15" customFormat="1" ht="12.75">
      <c r="B40" s="15" t="s">
        <v>18</v>
      </c>
      <c r="C40" s="131"/>
      <c r="D40" s="135">
        <f>D39*D38</f>
        <v>0</v>
      </c>
      <c r="M40" s="15" t="s">
        <v>18</v>
      </c>
      <c r="N40" s="135">
        <f>D39*N38</f>
        <v>0</v>
      </c>
      <c r="O40" s="78"/>
      <c r="P40" s="78"/>
      <c r="Q40" s="78"/>
      <c r="R40" s="76"/>
      <c r="S40" s="76"/>
      <c r="T40" s="78"/>
      <c r="U40" s="78"/>
    </row>
    <row r="41" spans="3:21" s="15" customFormat="1" ht="12.75">
      <c r="C41" s="131"/>
      <c r="D41" s="131"/>
      <c r="M41" s="80"/>
      <c r="N41" s="74"/>
      <c r="O41" s="78"/>
      <c r="P41" s="78"/>
      <c r="Q41" s="78"/>
      <c r="R41" s="76"/>
      <c r="S41" s="76"/>
      <c r="T41" s="78"/>
      <c r="U41" s="78"/>
    </row>
  </sheetData>
  <sheetProtection/>
  <printOptions/>
  <pageMargins left="0.75" right="0.75" top="1" bottom="1" header="0" footer="0"/>
  <pageSetup horizontalDpi="600" verticalDpi="600" orientation="portrait" r:id="rId1"/>
  <ignoredErrors>
    <ignoredError sqref="N38"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jeutria</cp:lastModifiedBy>
  <cp:lastPrinted>2004-06-07T16:23:58Z</cp:lastPrinted>
  <dcterms:created xsi:type="dcterms:W3CDTF">2002-04-18T20:31:17Z</dcterms:created>
  <dcterms:modified xsi:type="dcterms:W3CDTF">2006-07-05T16:43:48Z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-1543340887</vt:i4>
  </property>
  <property fmtid="{D5CDD505-2E9C-101B-9397-08002B2CF9AE}" pid="3" name="_EmailSubject">
    <vt:lpwstr>Calculadora Sep 03.xls</vt:lpwstr>
  </property>
  <property fmtid="{D5CDD505-2E9C-101B-9397-08002B2CF9AE}" pid="4" name="_AuthorEmail">
    <vt:lpwstr>ruribe@titularizadora.com</vt:lpwstr>
  </property>
  <property fmtid="{D5CDD505-2E9C-101B-9397-08002B2CF9AE}" pid="5" name="_AuthorEmailDisplayName">
    <vt:lpwstr>Ricardo Uribe</vt:lpwstr>
  </property>
  <property fmtid="{D5CDD505-2E9C-101B-9397-08002B2CF9AE}" pid="6" name="_PreviousAdHocReviewCycleID">
    <vt:i4>-1151320205</vt:i4>
  </property>
  <property fmtid="{D5CDD505-2E9C-101B-9397-08002B2CF9AE}" pid="7" name="_ReviewingToolsShownOnce">
    <vt:lpwstr/>
  </property>
</Properties>
</file>