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2120" windowHeight="4275" tabRatio="635" activeTab="0"/>
  </bookViews>
  <sheets>
    <sheet name="CALCULADORA TIPS E-6" sheetId="1" r:id="rId1"/>
    <sheet name="Características" sheetId="2" state="hidden" r:id="rId2"/>
    <sheet name="Flujos Mensuales" sheetId="3" r:id="rId3"/>
    <sheet name="UVR" sheetId="4" r:id="rId4"/>
    <sheet name="Tabla de Amortizacion" sheetId="5" state="hidden" r:id="rId5"/>
    <sheet name="Tablas" sheetId="6" state="hidden" r:id="rId6"/>
    <sheet name="Exclusión" sheetId="7" r:id="rId7"/>
  </sheets>
  <externalReferences>
    <externalReference r:id="rId10"/>
  </externalReferences>
  <definedNames/>
  <calcPr fullCalcOnLoad="1"/>
</workbook>
</file>

<file path=xl/comments1.xml><?xml version="1.0" encoding="utf-8"?>
<comments xmlns="http://schemas.openxmlformats.org/spreadsheetml/2006/main">
  <authors>
    <author>aamezquita</author>
  </authors>
  <commentList>
    <comment ref="F8" authorId="0">
      <text>
        <r>
          <rPr>
            <sz val="8"/>
            <rFont val="Tahoma"/>
            <family val="2"/>
          </rPr>
          <t>El criterio de la calculadora es el de cálculo de TIR a partir del precio limpio, conforme MECPlus. El  cálculo de precio limpio a partir de TIR puede presentar diferencias.</t>
        </r>
      </text>
    </comment>
  </commentList>
</comments>
</file>

<file path=xl/comments2.xml><?xml version="1.0" encoding="utf-8"?>
<comments xmlns="http://schemas.openxmlformats.org/spreadsheetml/2006/main">
  <authors>
    <author>aamezquita</author>
  </authors>
  <commentList>
    <comment ref="E2" authorId="0">
      <text>
        <r>
          <rPr>
            <b/>
            <sz val="8"/>
            <rFont val="Tahoma"/>
            <family val="2"/>
          </rPr>
          <t>aamezquita:</t>
        </r>
        <r>
          <rPr>
            <sz val="8"/>
            <rFont val="Tahoma"/>
            <family val="2"/>
          </rPr>
          <t xml:space="preserve">
Valor fijo - Última fecha de pago</t>
        </r>
      </text>
    </comment>
  </commentList>
</comments>
</file>

<file path=xl/sharedStrings.xml><?xml version="1.0" encoding="utf-8"?>
<sst xmlns="http://schemas.openxmlformats.org/spreadsheetml/2006/main" count="119" uniqueCount="96">
  <si>
    <t>Fecha</t>
  </si>
  <si>
    <t>FECHA</t>
  </si>
  <si>
    <t>Precio Limpio</t>
  </si>
  <si>
    <t>Duración Macaulay</t>
  </si>
  <si>
    <t>Duración Modificada</t>
  </si>
  <si>
    <t>Tabla de Amortización Valoración</t>
  </si>
  <si>
    <t>Amortización</t>
  </si>
  <si>
    <t>Fecha de Emisión</t>
  </si>
  <si>
    <t>Serie</t>
  </si>
  <si>
    <t>Días corridos</t>
  </si>
  <si>
    <t>Fecha de liquidación</t>
  </si>
  <si>
    <t>Fecha último pago cupón</t>
  </si>
  <si>
    <t>Valor Par</t>
  </si>
  <si>
    <t>Próximo pago de interés</t>
  </si>
  <si>
    <t>Días entre flujos</t>
  </si>
  <si>
    <t>Cupón corrido</t>
  </si>
  <si>
    <t>VPN</t>
  </si>
  <si>
    <t>Días 365</t>
  </si>
  <si>
    <t>Precio limpio</t>
  </si>
  <si>
    <t>Vida Media Restante</t>
  </si>
  <si>
    <t>Vida Media desde Emisión</t>
  </si>
  <si>
    <t>Nemo MEC</t>
  </si>
  <si>
    <t>Emisión</t>
  </si>
  <si>
    <t>Vencimiento contractual</t>
  </si>
  <si>
    <t>Cupón EA</t>
  </si>
  <si>
    <t>Moneda</t>
  </si>
  <si>
    <t>Características</t>
  </si>
  <si>
    <t>Nemotécnico MEC</t>
  </si>
  <si>
    <t>Control</t>
  </si>
  <si>
    <t>Mes inicial</t>
  </si>
  <si>
    <t>Seleccionar la serie</t>
  </si>
  <si>
    <t>Cálculo de precio y rentabilidad</t>
  </si>
  <si>
    <t>Tasa de Descuento EA</t>
  </si>
  <si>
    <t>Vencimiento Contractual</t>
  </si>
  <si>
    <t>Tasa Facial Efectiva Anual</t>
  </si>
  <si>
    <t>Tasa Facial Mes Vencido</t>
  </si>
  <si>
    <t>Precio Sucio</t>
  </si>
  <si>
    <t>Contractual</t>
  </si>
  <si>
    <t>Valoración</t>
  </si>
  <si>
    <t>Vencimiento Estimado</t>
  </si>
  <si>
    <t>Días iniciales</t>
  </si>
  <si>
    <t>Nominal</t>
  </si>
  <si>
    <t>Contravalor</t>
  </si>
  <si>
    <t>Precio unitario</t>
  </si>
  <si>
    <t>Cálculo de tasa y precio sucio a partir del limpio</t>
  </si>
  <si>
    <t>Restante por 100 de Inicial</t>
  </si>
  <si>
    <t>Nominal Restante a transar</t>
  </si>
  <si>
    <t>Escenario de Prepagos</t>
  </si>
  <si>
    <t>Precio sucio MEC</t>
  </si>
  <si>
    <t>Precio sucio modelo</t>
  </si>
  <si>
    <t>Diferencia</t>
  </si>
  <si>
    <t>Tasa de descuento equivalente</t>
  </si>
  <si>
    <t>Tasa de descuento</t>
  </si>
  <si>
    <t>Factor Saldo</t>
  </si>
  <si>
    <t>Factor Capital</t>
  </si>
  <si>
    <t>Factor Intereses</t>
  </si>
  <si>
    <t>Factor Total</t>
  </si>
  <si>
    <t>Saldo</t>
  </si>
  <si>
    <t>Totales</t>
  </si>
  <si>
    <t>Flujo de Capital</t>
  </si>
  <si>
    <t>Flujo de Intereses</t>
  </si>
  <si>
    <t>Flujo Total</t>
  </si>
  <si>
    <t>Cálculo de precio limpio y sucio a partir de tasa</t>
  </si>
  <si>
    <t>Contravalor (Valoración)</t>
  </si>
  <si>
    <t>6% (Medio)</t>
  </si>
  <si>
    <t>10% (Medio Alto)</t>
  </si>
  <si>
    <t>14% (Alto)</t>
  </si>
  <si>
    <t>Escenario de Amortización Contractual</t>
  </si>
  <si>
    <t>Escenario de Prepago  6% (Medio)</t>
  </si>
  <si>
    <t>Escenario de Prepago  10% (Medio Alto)</t>
  </si>
  <si>
    <t>Escenario de Prepago  14% (Alto)</t>
  </si>
  <si>
    <t>Escenario de Prepago  20%</t>
  </si>
  <si>
    <t>Tasa impositiva</t>
  </si>
  <si>
    <t>TIPS+Tx</t>
  </si>
  <si>
    <t>DM</t>
  </si>
  <si>
    <t>Días Hábiles</t>
  </si>
  <si>
    <t>Festivos</t>
  </si>
  <si>
    <t>(*) Curva a la fecha de publicación</t>
  </si>
  <si>
    <t>Celdas modificables</t>
  </si>
  <si>
    <t>UVR</t>
  </si>
  <si>
    <t>Curva de rendimientos TES UVR (*)</t>
  </si>
  <si>
    <t>UVR de la fecha</t>
  </si>
  <si>
    <t>ISIN</t>
  </si>
  <si>
    <t>Volver</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</si>
  <si>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</si>
  <si>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Exclusión de responsabilidad</t>
  </si>
  <si>
    <t>CALCULADORA DE PRECIOS TIPS E-6</t>
  </si>
  <si>
    <t>TIPS E-6 A 2009</t>
  </si>
  <si>
    <t>TIPS E-6 A 2014</t>
  </si>
  <si>
    <t>TIPS E-6 A 2019</t>
  </si>
  <si>
    <t>IRST05211209</t>
  </si>
  <si>
    <t>IRST10211214</t>
  </si>
  <si>
    <t>IRST15211219</t>
  </si>
  <si>
    <t>COF80TI00543</t>
  </si>
  <si>
    <t>COF80TI00550</t>
  </si>
  <si>
    <t>COF80TI00568</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</si>
</sst>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0.00000%"/>
    <numFmt numFmtId="183" formatCode="0.000%"/>
    <numFmt numFmtId="184" formatCode="_ * #,##0_ ;_ * \-#,##0_ ;_ * &quot;-&quot;??_ ;_ @_ "/>
    <numFmt numFmtId="185" formatCode="0.000000000%"/>
    <numFmt numFmtId="186" formatCode="0.0000000%"/>
    <numFmt numFmtId="187" formatCode="#,##0.000000_ ;\-#,##0.000000\ "/>
    <numFmt numFmtId="188" formatCode="#,##0.000_ ;\-#,##0.000\ "/>
    <numFmt numFmtId="189" formatCode="0.0000%"/>
    <numFmt numFmtId="190" formatCode="_-* #,##0\ _p_t_a_-;\-* #,##0\ _p_t_a_-;_-* &quot;-&quot;??\ _p_t_a_-;_-@_-"/>
    <numFmt numFmtId="191" formatCode="0.000000%"/>
    <numFmt numFmtId="192" formatCode="_ * #,##0.000_ ;_ * \-#,##0.000_ ;_ * &quot;-&quot;???_ ;_ @_ "/>
    <numFmt numFmtId="193" formatCode="_ * #,##0.000_ ;_ * \-#,##0.000_ ;_ * &quot;-&quot;??_ ;_ @_ "/>
    <numFmt numFmtId="194" formatCode="_ * #,##0.0000_ ;_ * \-#,##0.0000_ ;_ * &quot;-&quot;??_ ;_ @_ "/>
    <numFmt numFmtId="195" formatCode="_ * #,##0.00000_ ;_ * \-#,##0.00000_ ;_ * &quot;-&quot;??_ ;_ @_ "/>
    <numFmt numFmtId="196" formatCode="_ * #,##0.000000_ ;_ * \-#,##0.000000_ ;_ * &quot;-&quot;??_ ;_ @_ "/>
    <numFmt numFmtId="197" formatCode="#,##0_ ;\-#,##0\ "/>
    <numFmt numFmtId="198" formatCode="_ * #,##0.0000_ ;_ * \-#,##0.0000_ ;_ * &quot;-&quot;????_ ;_ @_ "/>
    <numFmt numFmtId="199" formatCode="0.000"/>
    <numFmt numFmtId="200" formatCode="0.0000"/>
    <numFmt numFmtId="201" formatCode="0.00000"/>
    <numFmt numFmtId="202" formatCode="0.000000"/>
    <numFmt numFmtId="203" formatCode="0.0000000"/>
    <numFmt numFmtId="204" formatCode="0.00000000"/>
    <numFmt numFmtId="205" formatCode="[$-240A]dddd\,\ dd&quot; de &quot;mmmm&quot; de &quot;yyyy"/>
    <numFmt numFmtId="206" formatCode="_-* #,##0.000\ _p_t_a_-;\-* #,##0.000\ _p_t_a_-;_-* &quot;-&quot;??\ _p_t_a_-;_-@_-"/>
    <numFmt numFmtId="207" formatCode="_-* #,##0.0000\ _p_t_a_-;\-* #,##0.0000\ _p_t_a_-;_-* &quot;-&quot;??\ _p_t_a_-;_-@_-"/>
    <numFmt numFmtId="208" formatCode="0.0%"/>
    <numFmt numFmtId="209" formatCode="&quot;Sí&quot;;&quot;Sí&quot;;&quot;No&quot;"/>
    <numFmt numFmtId="210" formatCode="&quot;Verdadero&quot;;&quot;Verdadero&quot;;&quot;Falso&quot;"/>
    <numFmt numFmtId="211" formatCode="&quot;Activado&quot;;&quot;Activado&quot;;&quot;Desactivado&quot;"/>
    <numFmt numFmtId="212" formatCode="[$€-2]\ #,##0.00_);[Red]\([$€-2]\ #,##0.00\)"/>
  </numFmts>
  <fonts count="64">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18"/>
      <name val="Arial"/>
      <family val="2"/>
    </font>
    <font>
      <b/>
      <sz val="10"/>
      <color indexed="9"/>
      <name val="Arial"/>
      <family val="2"/>
    </font>
    <font>
      <b/>
      <sz val="11"/>
      <name val="Arial"/>
      <family val="2"/>
    </font>
    <font>
      <sz val="11"/>
      <name val="Arial"/>
      <family val="2"/>
    </font>
    <font>
      <b/>
      <sz val="11"/>
      <color indexed="10"/>
      <name val="Arial"/>
      <family val="2"/>
    </font>
    <font>
      <sz val="11"/>
      <name val="Tahoma"/>
      <family val="2"/>
    </font>
    <font>
      <sz val="11"/>
      <color indexed="18"/>
      <name val="Tahoma"/>
      <family val="2"/>
    </font>
    <font>
      <b/>
      <sz val="11"/>
      <color indexed="8"/>
      <name val="Tahoma"/>
      <family val="2"/>
    </font>
    <font>
      <b/>
      <sz val="11"/>
      <name val="Tahoma"/>
      <family val="2"/>
    </font>
    <font>
      <b/>
      <sz val="11"/>
      <color indexed="9"/>
      <name val="Tahoma"/>
      <family val="2"/>
    </font>
    <font>
      <b/>
      <sz val="11"/>
      <color indexed="18"/>
      <name val="Tahoma"/>
      <family val="2"/>
    </font>
    <font>
      <b/>
      <sz val="11"/>
      <color indexed="10"/>
      <name val="Tahoma"/>
      <family val="2"/>
    </font>
    <font>
      <b/>
      <sz val="11"/>
      <color indexed="18"/>
      <name val="Arial"/>
      <family val="2"/>
    </font>
    <font>
      <b/>
      <sz val="10"/>
      <color indexed="18"/>
      <name val="Arial"/>
      <family val="2"/>
    </font>
    <font>
      <sz val="8"/>
      <name val="Tahoma"/>
      <family val="2"/>
    </font>
    <font>
      <b/>
      <sz val="8"/>
      <name val="Tahoma"/>
      <family val="2"/>
    </font>
    <font>
      <b/>
      <sz val="10"/>
      <name val="Tahoma"/>
      <family val="2"/>
    </font>
    <font>
      <sz val="11"/>
      <color indexed="10"/>
      <name val="Tahoma"/>
      <family val="2"/>
    </font>
    <font>
      <u val="single"/>
      <sz val="8"/>
      <color indexed="12"/>
      <name val="Arial"/>
      <family val="2"/>
    </font>
    <font>
      <sz val="8.25"/>
      <color indexed="8"/>
      <name val="Arial"/>
      <family val="2"/>
    </font>
    <font>
      <sz val="8"/>
      <color indexed="8"/>
      <name val="Arial"/>
      <family val="2"/>
    </font>
    <font>
      <sz val="6.7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0099"/>
      <name val="Tahom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15"/>
        <bgColor indexed="64"/>
      </patternFill>
    </fill>
    <fill>
      <patternFill patternType="solid">
        <fgColor indexed="22"/>
        <bgColor indexed="64"/>
      </patternFill>
    </fill>
    <fill>
      <patternFill patternType="solid">
        <fgColor indexed="11"/>
        <bgColor indexed="64"/>
      </patternFill>
    </fill>
    <fill>
      <patternFill patternType="solid">
        <fgColor theme="0"/>
        <bgColor indexed="64"/>
      </patternFill>
    </fill>
    <fill>
      <patternFill patternType="solid">
        <fgColor rgb="FF00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thin">
        <color indexed="22"/>
      </left>
      <right style="thin">
        <color indexed="22"/>
      </right>
      <top style="thin">
        <color indexed="22"/>
      </top>
      <bottom style="thin">
        <color indexed="22"/>
      </bottom>
    </border>
    <border>
      <left>
        <color indexed="63"/>
      </left>
      <right style="medium"/>
      <top style="medium"/>
      <bottom style="medium"/>
    </border>
    <border>
      <left style="medium"/>
      <right style="medium"/>
      <top style="medium"/>
      <bottom>
        <color indexed="63"/>
      </bottom>
    </border>
    <border>
      <left style="medium"/>
      <right style="thin"/>
      <top style="medium"/>
      <bottom>
        <color indexed="63"/>
      </bottom>
    </border>
    <border>
      <left style="thin">
        <color indexed="22"/>
      </left>
      <right>
        <color indexed="63"/>
      </right>
      <top style="thin">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83">
    <xf numFmtId="0" fontId="0" fillId="0" borderId="0" xfId="0" applyAlignment="1">
      <alignment/>
    </xf>
    <xf numFmtId="2" fontId="0" fillId="33" borderId="0" xfId="0" applyNumberFormat="1" applyFill="1" applyAlignment="1" applyProtection="1">
      <alignment/>
      <protection hidden="1"/>
    </xf>
    <xf numFmtId="0" fontId="0" fillId="33" borderId="0" xfId="0" applyFill="1" applyAlignment="1" applyProtection="1">
      <alignment/>
      <protection hidden="1"/>
    </xf>
    <xf numFmtId="0" fontId="0" fillId="33" borderId="0" xfId="0" applyFill="1" applyAlignment="1" applyProtection="1">
      <alignment horizontal="center"/>
      <protection hidden="1"/>
    </xf>
    <xf numFmtId="14" fontId="0" fillId="33" borderId="10" xfId="0" applyNumberFormat="1" applyFill="1" applyBorder="1" applyAlignment="1" applyProtection="1">
      <alignment horizontal="center"/>
      <protection hidden="1"/>
    </xf>
    <xf numFmtId="191" fontId="0" fillId="33" borderId="11" xfId="54" applyNumberFormat="1" applyFont="1" applyFill="1" applyBorder="1" applyAlignment="1" applyProtection="1">
      <alignment/>
      <protection hidden="1"/>
    </xf>
    <xf numFmtId="171" fontId="0" fillId="33" borderId="0" xfId="0" applyNumberFormat="1" applyFill="1" applyAlignment="1" applyProtection="1">
      <alignment/>
      <protection hidden="1"/>
    </xf>
    <xf numFmtId="0" fontId="4" fillId="33" borderId="12" xfId="0" applyFont="1" applyFill="1" applyBorder="1" applyAlignment="1" applyProtection="1">
      <alignment horizontal="center"/>
      <protection hidden="1"/>
    </xf>
    <xf numFmtId="0" fontId="4" fillId="33" borderId="13" xfId="0" applyFont="1" applyFill="1" applyBorder="1" applyAlignment="1" applyProtection="1">
      <alignment/>
      <protection hidden="1"/>
    </xf>
    <xf numFmtId="169" fontId="0" fillId="33" borderId="11" xfId="48" applyNumberFormat="1" applyFont="1" applyFill="1" applyBorder="1" applyAlignment="1" applyProtection="1">
      <alignment horizontal="center"/>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0" fontId="0" fillId="33" borderId="14" xfId="0" applyFont="1" applyFill="1" applyBorder="1" applyAlignment="1" applyProtection="1">
      <alignment horizontal="center"/>
      <protection hidden="1"/>
    </xf>
    <xf numFmtId="0" fontId="0" fillId="33" borderId="15" xfId="0" applyFont="1" applyFill="1" applyBorder="1" applyAlignment="1" applyProtection="1">
      <alignment horizontal="center"/>
      <protection hidden="1"/>
    </xf>
    <xf numFmtId="196" fontId="0" fillId="33" borderId="11" xfId="48" applyNumberFormat="1" applyFont="1" applyFill="1" applyBorder="1" applyAlignment="1" applyProtection="1">
      <alignment/>
      <protection hidden="1"/>
    </xf>
    <xf numFmtId="196" fontId="0" fillId="33" borderId="11" xfId="48" applyNumberFormat="1" applyFont="1" applyFill="1" applyBorder="1" applyAlignment="1" applyProtection="1">
      <alignment horizontal="right"/>
      <protection hidden="1"/>
    </xf>
    <xf numFmtId="196" fontId="4" fillId="33" borderId="13" xfId="0" applyNumberFormat="1" applyFont="1" applyFill="1" applyBorder="1" applyAlignment="1" applyProtection="1">
      <alignment/>
      <protection hidden="1"/>
    </xf>
    <xf numFmtId="2" fontId="6" fillId="34" borderId="16" xfId="54" applyNumberFormat="1" applyFont="1" applyFill="1" applyBorder="1" applyAlignment="1" applyProtection="1">
      <alignment horizontal="center" vertical="center"/>
      <protection hidden="1"/>
    </xf>
    <xf numFmtId="182" fontId="6" fillId="34" borderId="17" xfId="54" applyNumberFormat="1" applyFont="1" applyFill="1" applyBorder="1" applyAlignment="1" applyProtection="1">
      <alignment horizontal="center" vertical="center"/>
      <protection hidden="1"/>
    </xf>
    <xf numFmtId="2" fontId="6" fillId="34" borderId="17" xfId="54" applyNumberFormat="1"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191" fontId="4" fillId="35" borderId="17" xfId="54" applyNumberFormat="1" applyFont="1" applyFill="1" applyBorder="1" applyAlignment="1" applyProtection="1">
      <alignment/>
      <protection hidden="1"/>
    </xf>
    <xf numFmtId="196" fontId="4" fillId="33" borderId="19" xfId="48" applyNumberFormat="1" applyFont="1" applyFill="1" applyBorder="1" applyAlignment="1" applyProtection="1">
      <alignment/>
      <protection hidden="1"/>
    </xf>
    <xf numFmtId="196" fontId="4" fillId="33" borderId="18" xfId="48" applyNumberFormat="1" applyFont="1" applyFill="1" applyBorder="1" applyAlignment="1" applyProtection="1">
      <alignment/>
      <protection hidden="1"/>
    </xf>
    <xf numFmtId="0" fontId="6" fillId="34" borderId="13" xfId="0" applyFont="1" applyFill="1" applyBorder="1" applyAlignment="1" applyProtection="1">
      <alignment horizontal="center" vertical="center"/>
      <protection hidden="1"/>
    </xf>
    <xf numFmtId="0" fontId="0" fillId="33" borderId="0" xfId="0" applyFont="1" applyFill="1" applyBorder="1" applyAlignment="1" applyProtection="1">
      <alignment horizontal="center"/>
      <protection hidden="1"/>
    </xf>
    <xf numFmtId="0" fontId="0" fillId="33" borderId="20" xfId="0" applyFont="1" applyFill="1" applyBorder="1" applyAlignment="1" applyProtection="1">
      <alignment horizontal="center"/>
      <protection hidden="1"/>
    </xf>
    <xf numFmtId="182" fontId="6" fillId="34" borderId="19" xfId="54" applyNumberFormat="1" applyFont="1" applyFill="1" applyBorder="1" applyAlignment="1" applyProtection="1">
      <alignment horizontal="center" vertical="center"/>
      <protection hidden="1"/>
    </xf>
    <xf numFmtId="196" fontId="0" fillId="33" borderId="21" xfId="48" applyNumberFormat="1" applyFont="1" applyFill="1" applyBorder="1" applyAlignment="1" applyProtection="1">
      <alignment horizontal="right"/>
      <protection hidden="1"/>
    </xf>
    <xf numFmtId="0" fontId="6" fillId="34" borderId="17" xfId="0" applyFont="1" applyFill="1" applyBorder="1" applyAlignment="1" applyProtection="1">
      <alignment horizontal="center" vertical="center"/>
      <protection hidden="1"/>
    </xf>
    <xf numFmtId="14" fontId="0" fillId="33" borderId="11" xfId="0" applyNumberFormat="1" applyFont="1" applyFill="1" applyBorder="1" applyAlignment="1" applyProtection="1">
      <alignment horizontal="center"/>
      <protection hidden="1"/>
    </xf>
    <xf numFmtId="14" fontId="0" fillId="33" borderId="22" xfId="0" applyNumberFormat="1" applyFont="1" applyFill="1" applyBorder="1" applyAlignment="1" applyProtection="1">
      <alignment horizontal="center"/>
      <protection hidden="1"/>
    </xf>
    <xf numFmtId="192" fontId="0" fillId="33" borderId="0" xfId="0" applyNumberFormat="1" applyFill="1" applyAlignment="1" applyProtection="1">
      <alignment/>
      <protection hidden="1"/>
    </xf>
    <xf numFmtId="0" fontId="0" fillId="33" borderId="23" xfId="0" applyFont="1" applyFill="1" applyBorder="1" applyAlignment="1" applyProtection="1">
      <alignment/>
      <protection hidden="1"/>
    </xf>
    <xf numFmtId="14" fontId="0" fillId="33" borderId="24" xfId="0" applyNumberFormat="1" applyFont="1" applyFill="1" applyBorder="1" applyAlignment="1" applyProtection="1">
      <alignment/>
      <protection hidden="1"/>
    </xf>
    <xf numFmtId="196" fontId="0" fillId="33" borderId="24" xfId="48" applyNumberFormat="1" applyFont="1" applyFill="1" applyBorder="1" applyAlignment="1" applyProtection="1">
      <alignment horizontal="right"/>
      <protection hidden="1"/>
    </xf>
    <xf numFmtId="184" fontId="0" fillId="33" borderId="24" xfId="48" applyNumberFormat="1" applyFont="1" applyFill="1" applyBorder="1" applyAlignment="1" applyProtection="1">
      <alignment horizontal="right"/>
      <protection hidden="1"/>
    </xf>
    <xf numFmtId="195" fontId="0" fillId="33" borderId="24" xfId="48" applyNumberFormat="1" applyFont="1" applyFill="1" applyBorder="1" applyAlignment="1" applyProtection="1">
      <alignment horizontal="right"/>
      <protection hidden="1"/>
    </xf>
    <xf numFmtId="194" fontId="0" fillId="33" borderId="24" xfId="48" applyNumberFormat="1" applyFont="1" applyFill="1" applyBorder="1" applyAlignment="1" applyProtection="1">
      <alignment horizontal="right"/>
      <protection hidden="1"/>
    </xf>
    <xf numFmtId="0" fontId="0" fillId="33" borderId="25" xfId="0" applyFont="1" applyFill="1" applyBorder="1" applyAlignment="1" applyProtection="1">
      <alignment/>
      <protection hidden="1"/>
    </xf>
    <xf numFmtId="183" fontId="0" fillId="33" borderId="26" xfId="54" applyNumberFormat="1" applyFont="1" applyFill="1" applyBorder="1" applyAlignment="1" applyProtection="1">
      <alignment horizontal="right"/>
      <protection hidden="1"/>
    </xf>
    <xf numFmtId="193" fontId="0" fillId="33" borderId="24" xfId="48" applyNumberFormat="1" applyFont="1" applyFill="1" applyBorder="1" applyAlignment="1" applyProtection="1">
      <alignment horizontal="right"/>
      <protection hidden="1"/>
    </xf>
    <xf numFmtId="171" fontId="0" fillId="33" borderId="24" xfId="48" applyNumberFormat="1" applyFont="1" applyFill="1" applyBorder="1" applyAlignment="1" applyProtection="1">
      <alignment horizontal="right"/>
      <protection hidden="1"/>
    </xf>
    <xf numFmtId="171" fontId="4" fillId="33" borderId="19" xfId="48" applyNumberFormat="1" applyFont="1" applyFill="1" applyBorder="1" applyAlignment="1" applyProtection="1">
      <alignment/>
      <protection hidden="1"/>
    </xf>
    <xf numFmtId="171" fontId="4" fillId="33" borderId="18" xfId="48" applyNumberFormat="1" applyFont="1" applyFill="1" applyBorder="1" applyAlignment="1" applyProtection="1">
      <alignment/>
      <protection hidden="1"/>
    </xf>
    <xf numFmtId="2" fontId="6" fillId="34" borderId="18" xfId="54" applyNumberFormat="1" applyFont="1" applyFill="1" applyBorder="1" applyAlignment="1" applyProtection="1">
      <alignment horizontal="center" vertical="center"/>
      <protection hidden="1"/>
    </xf>
    <xf numFmtId="0" fontId="15" fillId="36" borderId="27" xfId="0" applyFont="1" applyFill="1" applyBorder="1" applyAlignment="1" applyProtection="1">
      <alignment/>
      <protection hidden="1"/>
    </xf>
    <xf numFmtId="15" fontId="10" fillId="0" borderId="28" xfId="0" applyNumberFormat="1" applyFont="1" applyBorder="1" applyAlignment="1" applyProtection="1">
      <alignment horizontal="center"/>
      <protection hidden="1"/>
    </xf>
    <xf numFmtId="15" fontId="10" fillId="0" borderId="29" xfId="0" applyNumberFormat="1" applyFont="1" applyBorder="1" applyAlignment="1" applyProtection="1">
      <alignment horizontal="center"/>
      <protection hidden="1"/>
    </xf>
    <xf numFmtId="0" fontId="10" fillId="0" borderId="0" xfId="0" applyFont="1" applyAlignment="1" applyProtection="1">
      <alignment/>
      <protection hidden="1"/>
    </xf>
    <xf numFmtId="0" fontId="10" fillId="33" borderId="0" xfId="0" applyFont="1" applyFill="1" applyBorder="1" applyAlignment="1" applyProtection="1">
      <alignment/>
      <protection hidden="1"/>
    </xf>
    <xf numFmtId="0" fontId="11" fillId="33" borderId="0"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14" fontId="10" fillId="0" borderId="0" xfId="0" applyNumberFormat="1" applyFont="1" applyFill="1" applyBorder="1" applyAlignment="1" applyProtection="1">
      <alignment horizontal="center"/>
      <protection hidden="1"/>
    </xf>
    <xf numFmtId="0" fontId="15" fillId="33" borderId="0" xfId="0" applyFont="1" applyFill="1" applyBorder="1" applyAlignment="1" applyProtection="1">
      <alignment horizontal="left" vertical="center" indent="14"/>
      <protection hidden="1"/>
    </xf>
    <xf numFmtId="0" fontId="12" fillId="33" borderId="0" xfId="0" applyFont="1" applyFill="1" applyBorder="1" applyAlignment="1" applyProtection="1">
      <alignment horizontal="left" vertical="center" indent="14"/>
      <protection hidden="1"/>
    </xf>
    <xf numFmtId="0" fontId="10" fillId="0" borderId="0" xfId="0" applyFont="1" applyFill="1" applyAlignment="1" applyProtection="1">
      <alignment/>
      <protection hidden="1"/>
    </xf>
    <xf numFmtId="14" fontId="10" fillId="36" borderId="0" xfId="0" applyNumberFormat="1" applyFont="1" applyFill="1" applyAlignment="1" applyProtection="1">
      <alignment/>
      <protection hidden="1"/>
    </xf>
    <xf numFmtId="14" fontId="10" fillId="0" borderId="0" xfId="0" applyNumberFormat="1" applyFont="1" applyFill="1" applyBorder="1" applyAlignment="1" applyProtection="1">
      <alignment/>
      <protection hidden="1"/>
    </xf>
    <xf numFmtId="0" fontId="12" fillId="33" borderId="0" xfId="0" applyFont="1" applyFill="1" applyBorder="1" applyAlignment="1" applyProtection="1">
      <alignment vertical="center"/>
      <protection hidden="1"/>
    </xf>
    <xf numFmtId="0" fontId="10" fillId="33" borderId="30" xfId="0" applyFont="1" applyFill="1" applyBorder="1" applyAlignment="1" applyProtection="1">
      <alignment/>
      <protection hidden="1"/>
    </xf>
    <xf numFmtId="0" fontId="14" fillId="34" borderId="31" xfId="0" applyFont="1" applyFill="1" applyBorder="1" applyAlignment="1" applyProtection="1">
      <alignment horizontal="left"/>
      <protection hidden="1"/>
    </xf>
    <xf numFmtId="0" fontId="14" fillId="34" borderId="32" xfId="0" applyFont="1" applyFill="1" applyBorder="1" applyAlignment="1" applyProtection="1">
      <alignment horizontal="left"/>
      <protection hidden="1"/>
    </xf>
    <xf numFmtId="0" fontId="10" fillId="0" borderId="0" xfId="0" applyFont="1" applyBorder="1" applyAlignment="1" applyProtection="1">
      <alignment/>
      <protection hidden="1"/>
    </xf>
    <xf numFmtId="0" fontId="10" fillId="0" borderId="33" xfId="0" applyFont="1" applyBorder="1" applyAlignment="1" applyProtection="1">
      <alignment/>
      <protection hidden="1"/>
    </xf>
    <xf numFmtId="0" fontId="14" fillId="34" borderId="34" xfId="0" applyFont="1" applyFill="1" applyBorder="1" applyAlignment="1" applyProtection="1">
      <alignment horizontal="left"/>
      <protection hidden="1"/>
    </xf>
    <xf numFmtId="0" fontId="10" fillId="0" borderId="34" xfId="0" applyFont="1" applyBorder="1" applyAlignment="1" applyProtection="1">
      <alignment/>
      <protection hidden="1"/>
    </xf>
    <xf numFmtId="9" fontId="10" fillId="0" borderId="0" xfId="0" applyNumberFormat="1" applyFont="1" applyFill="1" applyBorder="1" applyAlignment="1" applyProtection="1">
      <alignment horizontal="left"/>
      <protection hidden="1"/>
    </xf>
    <xf numFmtId="0" fontId="10" fillId="0" borderId="28" xfId="0" applyFont="1" applyBorder="1" applyAlignment="1" applyProtection="1">
      <alignment/>
      <protection hidden="1"/>
    </xf>
    <xf numFmtId="14" fontId="10" fillId="0" borderId="27" xfId="0" applyNumberFormat="1" applyFont="1" applyBorder="1" applyAlignment="1" applyProtection="1">
      <alignment/>
      <protection hidden="1"/>
    </xf>
    <xf numFmtId="14" fontId="10" fillId="0" borderId="35" xfId="0" applyNumberFormat="1" applyFont="1" applyBorder="1" applyAlignment="1" applyProtection="1">
      <alignment horizontal="right" indent="1"/>
      <protection hidden="1"/>
    </xf>
    <xf numFmtId="0" fontId="10" fillId="0" borderId="30" xfId="0" applyFont="1" applyBorder="1" applyAlignment="1" applyProtection="1">
      <alignment/>
      <protection hidden="1"/>
    </xf>
    <xf numFmtId="14" fontId="10" fillId="0" borderId="28" xfId="0" applyNumberFormat="1" applyFont="1" applyBorder="1" applyAlignment="1" applyProtection="1">
      <alignment/>
      <protection hidden="1"/>
    </xf>
    <xf numFmtId="14" fontId="10" fillId="0" borderId="30" xfId="0" applyNumberFormat="1" applyFont="1" applyBorder="1" applyAlignment="1" applyProtection="1">
      <alignment horizontal="right" indent="1"/>
      <protection hidden="1"/>
    </xf>
    <xf numFmtId="0" fontId="16" fillId="36" borderId="28" xfId="0" applyFont="1" applyFill="1" applyBorder="1" applyAlignment="1" applyProtection="1">
      <alignment/>
      <protection hidden="1"/>
    </xf>
    <xf numFmtId="14" fontId="10" fillId="0" borderId="30" xfId="0" applyNumberFormat="1" applyFont="1" applyBorder="1" applyAlignment="1" applyProtection="1">
      <alignment horizontal="center"/>
      <protection hidden="1"/>
    </xf>
    <xf numFmtId="0" fontId="15" fillId="36" borderId="28" xfId="0" applyFont="1" applyFill="1" applyBorder="1" applyAlignment="1" applyProtection="1">
      <alignment/>
      <protection hidden="1"/>
    </xf>
    <xf numFmtId="0" fontId="10" fillId="0" borderId="29" xfId="0" applyFont="1" applyBorder="1" applyAlignment="1" applyProtection="1">
      <alignment/>
      <protection hidden="1"/>
    </xf>
    <xf numFmtId="183" fontId="10" fillId="0" borderId="30" xfId="54" applyNumberFormat="1" applyFont="1" applyBorder="1" applyAlignment="1" applyProtection="1">
      <alignment horizontal="right" indent="1"/>
      <protection hidden="1"/>
    </xf>
    <xf numFmtId="14" fontId="13" fillId="0" borderId="30" xfId="0" applyNumberFormat="1" applyFont="1" applyBorder="1" applyAlignment="1" applyProtection="1">
      <alignment horizontal="right" indent="1"/>
      <protection hidden="1"/>
    </xf>
    <xf numFmtId="187" fontId="10" fillId="0" borderId="30" xfId="48" applyNumberFormat="1" applyFont="1" applyBorder="1" applyAlignment="1" applyProtection="1">
      <alignment horizontal="right" indent="1"/>
      <protection hidden="1"/>
    </xf>
    <xf numFmtId="14" fontId="10" fillId="0" borderId="29" xfId="0" applyNumberFormat="1" applyFont="1" applyBorder="1" applyAlignment="1" applyProtection="1">
      <alignment/>
      <protection hidden="1"/>
    </xf>
    <xf numFmtId="14" fontId="10" fillId="0" borderId="36" xfId="0" applyNumberFormat="1" applyFont="1" applyBorder="1" applyAlignment="1" applyProtection="1">
      <alignment horizontal="right" indent="1"/>
      <protection hidden="1"/>
    </xf>
    <xf numFmtId="2" fontId="15" fillId="33" borderId="35" xfId="0" applyNumberFormat="1" applyFont="1" applyFill="1" applyBorder="1" applyAlignment="1" applyProtection="1">
      <alignment horizontal="right" indent="1"/>
      <protection hidden="1"/>
    </xf>
    <xf numFmtId="14" fontId="10" fillId="0" borderId="37" xfId="0" applyNumberFormat="1" applyFont="1" applyBorder="1" applyAlignment="1" applyProtection="1">
      <alignment/>
      <protection hidden="1"/>
    </xf>
    <xf numFmtId="0" fontId="15" fillId="33" borderId="28" xfId="0" applyFont="1" applyFill="1" applyBorder="1" applyAlignment="1" applyProtection="1">
      <alignment/>
      <protection hidden="1"/>
    </xf>
    <xf numFmtId="2" fontId="15" fillId="33" borderId="30" xfId="0" applyNumberFormat="1" applyFont="1" applyFill="1" applyBorder="1" applyAlignment="1" applyProtection="1">
      <alignment horizontal="right" indent="1"/>
      <protection hidden="1"/>
    </xf>
    <xf numFmtId="2" fontId="15" fillId="33" borderId="0" xfId="0" applyNumberFormat="1" applyFont="1" applyFill="1" applyBorder="1" applyAlignment="1" applyProtection="1">
      <alignment horizontal="center"/>
      <protection hidden="1"/>
    </xf>
    <xf numFmtId="0" fontId="15" fillId="33" borderId="29" xfId="0" applyFont="1" applyFill="1" applyBorder="1" applyAlignment="1" applyProtection="1">
      <alignment/>
      <protection hidden="1"/>
    </xf>
    <xf numFmtId="2" fontId="15" fillId="33" borderId="36" xfId="0" applyNumberFormat="1" applyFont="1" applyFill="1" applyBorder="1" applyAlignment="1" applyProtection="1">
      <alignment horizontal="right" indent="1"/>
      <protection hidden="1"/>
    </xf>
    <xf numFmtId="14" fontId="10" fillId="0" borderId="0" xfId="0" applyNumberFormat="1" applyFont="1" applyFill="1" applyAlignment="1" applyProtection="1">
      <alignment/>
      <protection hidden="1"/>
    </xf>
    <xf numFmtId="0" fontId="0" fillId="33" borderId="0" xfId="0" applyFont="1" applyFill="1" applyAlignment="1" applyProtection="1">
      <alignment horizontal="center" vertical="center"/>
      <protection hidden="1"/>
    </xf>
    <xf numFmtId="171" fontId="0" fillId="33" borderId="11" xfId="0" applyNumberFormat="1" applyFont="1" applyFill="1" applyBorder="1" applyAlignment="1" applyProtection="1">
      <alignment/>
      <protection hidden="1"/>
    </xf>
    <xf numFmtId="171" fontId="0" fillId="33" borderId="14" xfId="0" applyNumberFormat="1" applyFont="1" applyFill="1" applyBorder="1" applyAlignment="1" applyProtection="1">
      <alignment/>
      <protection hidden="1"/>
    </xf>
    <xf numFmtId="0" fontId="0" fillId="33" borderId="0" xfId="0" applyFont="1" applyFill="1" applyAlignment="1" applyProtection="1">
      <alignment/>
      <protection hidden="1"/>
    </xf>
    <xf numFmtId="171" fontId="0" fillId="33" borderId="10" xfId="0" applyNumberFormat="1" applyFont="1" applyFill="1" applyBorder="1" applyAlignment="1" applyProtection="1">
      <alignment/>
      <protection hidden="1"/>
    </xf>
    <xf numFmtId="181" fontId="0" fillId="33" borderId="0" xfId="48" applyFont="1" applyFill="1" applyAlignment="1" applyProtection="1">
      <alignment/>
      <protection hidden="1"/>
    </xf>
    <xf numFmtId="171" fontId="0" fillId="33" borderId="38"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171" fontId="0" fillId="33" borderId="15" xfId="0" applyNumberFormat="1" applyFont="1" applyFill="1" applyBorder="1" applyAlignment="1" applyProtection="1">
      <alignment/>
      <protection hidden="1"/>
    </xf>
    <xf numFmtId="171" fontId="4" fillId="33" borderId="16" xfId="0" applyNumberFormat="1" applyFont="1" applyFill="1" applyBorder="1" applyAlignment="1" applyProtection="1">
      <alignment/>
      <protection hidden="1"/>
    </xf>
    <xf numFmtId="0" fontId="6" fillId="34" borderId="39" xfId="0" applyFont="1" applyFill="1" applyBorder="1" applyAlignment="1" applyProtection="1">
      <alignment/>
      <protection hidden="1"/>
    </xf>
    <xf numFmtId="0" fontId="0" fillId="33" borderId="40" xfId="0" applyFont="1" applyFill="1" applyBorder="1" applyAlignment="1" applyProtection="1">
      <alignment horizontal="center"/>
      <protection hidden="1"/>
    </xf>
    <xf numFmtId="0" fontId="0" fillId="33" borderId="41"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6" fillId="34" borderId="23" xfId="0" applyFont="1" applyFill="1" applyBorder="1" applyAlignment="1" applyProtection="1">
      <alignment/>
      <protection hidden="1"/>
    </xf>
    <xf numFmtId="0" fontId="0" fillId="33" borderId="42" xfId="0"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14" fontId="0" fillId="36" borderId="0" xfId="0" applyNumberFormat="1" applyFont="1" applyFill="1" applyBorder="1" applyAlignment="1" applyProtection="1">
      <alignment horizontal="center"/>
      <protection hidden="1"/>
    </xf>
    <xf numFmtId="14" fontId="0" fillId="33" borderId="42" xfId="0" applyNumberFormat="1" applyFont="1" applyFill="1" applyBorder="1" applyAlignment="1" applyProtection="1">
      <alignment horizontal="center"/>
      <protection hidden="1"/>
    </xf>
    <xf numFmtId="14" fontId="0" fillId="33" borderId="24" xfId="0" applyNumberFormat="1" applyFont="1" applyFill="1" applyBorder="1" applyAlignment="1" applyProtection="1">
      <alignment horizontal="center"/>
      <protection hidden="1"/>
    </xf>
    <xf numFmtId="10" fontId="0" fillId="33" borderId="42" xfId="0" applyNumberFormat="1" applyFont="1" applyFill="1" applyBorder="1" applyAlignment="1" applyProtection="1">
      <alignment horizontal="center"/>
      <protection hidden="1"/>
    </xf>
    <xf numFmtId="10" fontId="0" fillId="33" borderId="24" xfId="0" applyNumberFormat="1" applyFont="1" applyFill="1" applyBorder="1" applyAlignment="1" applyProtection="1">
      <alignment horizontal="center"/>
      <protection hidden="1"/>
    </xf>
    <xf numFmtId="0" fontId="6" fillId="34" borderId="25" xfId="0" applyFont="1" applyFill="1" applyBorder="1" applyAlignment="1" applyProtection="1">
      <alignment/>
      <protection hidden="1"/>
    </xf>
    <xf numFmtId="0" fontId="0" fillId="33" borderId="43" xfId="0" applyFont="1" applyFill="1" applyBorder="1" applyAlignment="1" applyProtection="1">
      <alignment horizontal="center"/>
      <protection hidden="1"/>
    </xf>
    <xf numFmtId="0" fontId="0" fillId="33" borderId="26" xfId="0" applyFont="1" applyFill="1" applyBorder="1" applyAlignment="1" applyProtection="1">
      <alignment horizontal="center"/>
      <protection hidden="1"/>
    </xf>
    <xf numFmtId="184" fontId="0" fillId="33" borderId="0" xfId="0" applyNumberFormat="1" applyFont="1" applyFill="1" applyBorder="1" applyAlignment="1" applyProtection="1">
      <alignment horizontal="center"/>
      <protection hidden="1"/>
    </xf>
    <xf numFmtId="193" fontId="0" fillId="33" borderId="0" xfId="0" applyNumberFormat="1" applyFont="1" applyFill="1" applyBorder="1" applyAlignment="1" applyProtection="1">
      <alignment horizontal="center"/>
      <protection hidden="1"/>
    </xf>
    <xf numFmtId="183" fontId="0" fillId="33" borderId="24" xfId="54" applyNumberFormat="1" applyFont="1" applyFill="1" applyBorder="1" applyAlignment="1" applyProtection="1">
      <alignment horizontal="right"/>
      <protection hidden="1"/>
    </xf>
    <xf numFmtId="190" fontId="0" fillId="33" borderId="0" xfId="48" applyNumberFormat="1" applyFont="1" applyFill="1" applyBorder="1" applyAlignment="1" applyProtection="1">
      <alignment/>
      <protection hidden="1"/>
    </xf>
    <xf numFmtId="171" fontId="0" fillId="33" borderId="0" xfId="0" applyNumberFormat="1" applyFont="1" applyFill="1" applyBorder="1" applyAlignment="1" applyProtection="1">
      <alignment/>
      <protection hidden="1"/>
    </xf>
    <xf numFmtId="196" fontId="0" fillId="33" borderId="0" xfId="0" applyNumberFormat="1" applyFont="1" applyFill="1" applyBorder="1" applyAlignment="1" applyProtection="1">
      <alignment horizontal="center"/>
      <protection hidden="1"/>
    </xf>
    <xf numFmtId="193" fontId="0" fillId="33" borderId="26" xfId="0" applyNumberFormat="1" applyFont="1" applyFill="1" applyBorder="1" applyAlignment="1" applyProtection="1">
      <alignment horizontal="center"/>
      <protection hidden="1"/>
    </xf>
    <xf numFmtId="194" fontId="0" fillId="33" borderId="0" xfId="0" applyNumberFormat="1" applyFont="1" applyFill="1" applyBorder="1" applyAlignment="1" applyProtection="1">
      <alignment horizontal="center"/>
      <protection hidden="1"/>
    </xf>
    <xf numFmtId="198" fontId="0" fillId="33"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182" fontId="5" fillId="0" borderId="44" xfId="54" applyNumberFormat="1" applyFont="1" applyFill="1" applyBorder="1" applyAlignment="1" applyProtection="1">
      <alignment horizontal="center"/>
      <protection hidden="1"/>
    </xf>
    <xf numFmtId="182" fontId="5" fillId="0" borderId="45" xfId="54" applyNumberFormat="1" applyFont="1" applyFill="1" applyBorder="1" applyAlignment="1" applyProtection="1">
      <alignment horizontal="center"/>
      <protection hidden="1"/>
    </xf>
    <xf numFmtId="0" fontId="0" fillId="0" borderId="0" xfId="0" applyFont="1" applyFill="1" applyBorder="1" applyAlignment="1" applyProtection="1">
      <alignment/>
      <protection hidden="1"/>
    </xf>
    <xf numFmtId="14" fontId="0" fillId="0" borderId="46" xfId="54" applyNumberFormat="1" applyFont="1" applyFill="1" applyBorder="1" applyAlignment="1" applyProtection="1">
      <alignment horizontal="center"/>
      <protection hidden="1"/>
    </xf>
    <xf numFmtId="185" fontId="0" fillId="0" borderId="46" xfId="54" applyNumberFormat="1" applyFont="1" applyFill="1" applyBorder="1" applyAlignment="1" applyProtection="1">
      <alignment horizontal="center"/>
      <protection hidden="1"/>
    </xf>
    <xf numFmtId="185" fontId="0" fillId="0" borderId="24" xfId="54" applyNumberFormat="1" applyFont="1" applyFill="1" applyBorder="1" applyAlignment="1" applyProtection="1">
      <alignment horizontal="center"/>
      <protection hidden="1"/>
    </xf>
    <xf numFmtId="14" fontId="0" fillId="0" borderId="45" xfId="54" applyNumberFormat="1" applyFont="1" applyFill="1" applyBorder="1" applyAlignment="1" applyProtection="1">
      <alignment horizontal="center"/>
      <protection hidden="1"/>
    </xf>
    <xf numFmtId="185" fontId="0" fillId="0" borderId="45" xfId="54" applyNumberFormat="1" applyFont="1" applyFill="1" applyBorder="1" applyAlignment="1" applyProtection="1">
      <alignment horizontal="center"/>
      <protection hidden="1"/>
    </xf>
    <xf numFmtId="185" fontId="0" fillId="0" borderId="26" xfId="54" applyNumberFormat="1" applyFont="1" applyFill="1" applyBorder="1" applyAlignment="1" applyProtection="1">
      <alignment horizontal="center"/>
      <protection hidden="1"/>
    </xf>
    <xf numFmtId="191" fontId="0" fillId="0" borderId="0" xfId="0" applyNumberFormat="1" applyFont="1" applyFill="1" applyBorder="1" applyAlignment="1" applyProtection="1">
      <alignment horizontal="center"/>
      <protection hidden="1"/>
    </xf>
    <xf numFmtId="191" fontId="0" fillId="0" borderId="0" xfId="0" applyNumberFormat="1" applyFont="1" applyFill="1" applyBorder="1" applyAlignment="1" applyProtection="1">
      <alignment/>
      <protection hidden="1"/>
    </xf>
    <xf numFmtId="183" fontId="16" fillId="36" borderId="30" xfId="0" applyNumberFormat="1" applyFont="1" applyFill="1" applyBorder="1" applyAlignment="1" applyProtection="1">
      <alignment horizontal="right" indent="1"/>
      <protection hidden="1" locked="0"/>
    </xf>
    <xf numFmtId="188" fontId="15" fillId="36" borderId="30" xfId="48" applyNumberFormat="1" applyFont="1" applyFill="1" applyBorder="1" applyAlignment="1" applyProtection="1">
      <alignment horizontal="right" indent="1"/>
      <protection hidden="1" locked="0"/>
    </xf>
    <xf numFmtId="197" fontId="11" fillId="36" borderId="30" xfId="48" applyNumberFormat="1" applyFont="1" applyFill="1" applyBorder="1" applyAlignment="1" applyProtection="1">
      <alignment horizontal="right" indent="1"/>
      <protection hidden="1" locked="0"/>
    </xf>
    <xf numFmtId="0" fontId="15" fillId="33" borderId="27" xfId="0" applyFont="1" applyFill="1" applyBorder="1" applyAlignment="1" applyProtection="1">
      <alignment/>
      <protection hidden="1"/>
    </xf>
    <xf numFmtId="0" fontId="19" fillId="0" borderId="0" xfId="0" applyFont="1" applyAlignment="1" applyProtection="1">
      <alignment/>
      <protection hidden="1"/>
    </xf>
    <xf numFmtId="0" fontId="21" fillId="36" borderId="0" xfId="0" applyFont="1" applyFill="1" applyBorder="1" applyAlignment="1" applyProtection="1">
      <alignment horizontal="center"/>
      <protection hidden="1"/>
    </xf>
    <xf numFmtId="14" fontId="15" fillId="36" borderId="47" xfId="0" applyNumberFormat="1" applyFont="1" applyFill="1" applyBorder="1" applyAlignment="1" applyProtection="1">
      <alignment horizontal="center"/>
      <protection hidden="1" locked="0"/>
    </xf>
    <xf numFmtId="0" fontId="13" fillId="36" borderId="27" xfId="0" applyFont="1" applyFill="1" applyBorder="1" applyAlignment="1" applyProtection="1">
      <alignment/>
      <protection hidden="1"/>
    </xf>
    <xf numFmtId="0" fontId="13" fillId="33" borderId="33" xfId="0" applyFont="1" applyFill="1" applyBorder="1" applyAlignment="1" applyProtection="1">
      <alignment/>
      <protection hidden="1"/>
    </xf>
    <xf numFmtId="182" fontId="18" fillId="0" borderId="44" xfId="54" applyNumberFormat="1" applyFont="1" applyFill="1" applyBorder="1" applyAlignment="1" applyProtection="1">
      <alignment horizontal="center"/>
      <protection hidden="1"/>
    </xf>
    <xf numFmtId="0" fontId="18" fillId="0" borderId="44" xfId="0" applyFont="1" applyFill="1" applyBorder="1" applyAlignment="1" applyProtection="1">
      <alignment horizontal="center"/>
      <protection hidden="1"/>
    </xf>
    <xf numFmtId="0" fontId="18" fillId="0" borderId="48" xfId="0" applyFont="1" applyFill="1" applyBorder="1" applyAlignment="1" applyProtection="1">
      <alignment horizontal="center"/>
      <protection hidden="1"/>
    </xf>
    <xf numFmtId="0" fontId="0" fillId="0" borderId="0" xfId="0" applyFont="1" applyFill="1" applyAlignment="1" applyProtection="1">
      <alignment/>
      <protection hidden="1"/>
    </xf>
    <xf numFmtId="14" fontId="5" fillId="0" borderId="39" xfId="54" applyNumberFormat="1" applyFont="1" applyFill="1" applyBorder="1" applyAlignment="1" applyProtection="1">
      <alignment horizontal="center"/>
      <protection hidden="1"/>
    </xf>
    <xf numFmtId="186" fontId="5" fillId="0" borderId="49" xfId="54" applyNumberFormat="1" applyFont="1" applyFill="1" applyBorder="1" applyAlignment="1" applyProtection="1">
      <alignment horizontal="center"/>
      <protection hidden="1"/>
    </xf>
    <xf numFmtId="14" fontId="5" fillId="0" borderId="23" xfId="54" applyNumberFormat="1" applyFont="1" applyFill="1" applyBorder="1" applyAlignment="1" applyProtection="1">
      <alignment horizontal="center"/>
      <protection hidden="1"/>
    </xf>
    <xf numFmtId="186" fontId="5" fillId="0" borderId="46" xfId="54" applyNumberFormat="1" applyFont="1" applyFill="1" applyBorder="1" applyAlignment="1" applyProtection="1">
      <alignment horizontal="center"/>
      <protection hidden="1"/>
    </xf>
    <xf numFmtId="14" fontId="5" fillId="0" borderId="25" xfId="54" applyNumberFormat="1" applyFont="1" applyFill="1" applyBorder="1" applyAlignment="1" applyProtection="1">
      <alignment horizontal="center"/>
      <protection hidden="1"/>
    </xf>
    <xf numFmtId="186" fontId="5" fillId="0" borderId="45" xfId="54" applyNumberFormat="1" applyFont="1" applyFill="1" applyBorder="1" applyAlignment="1" applyProtection="1">
      <alignment horizontal="center"/>
      <protection hidden="1"/>
    </xf>
    <xf numFmtId="9" fontId="13" fillId="36" borderId="35" xfId="54" applyFont="1" applyFill="1" applyBorder="1" applyAlignment="1" applyProtection="1">
      <alignment horizontal="right" indent="1"/>
      <protection hidden="1" locked="0"/>
    </xf>
    <xf numFmtId="0" fontId="4" fillId="33" borderId="0" xfId="0" applyFont="1" applyFill="1" applyBorder="1" applyAlignment="1" applyProtection="1">
      <alignment horizontal="center"/>
      <protection hidden="1"/>
    </xf>
    <xf numFmtId="14" fontId="4" fillId="33" borderId="0" xfId="0" applyNumberFormat="1" applyFont="1" applyFill="1" applyBorder="1" applyAlignment="1" applyProtection="1">
      <alignment horizontal="center"/>
      <protection hidden="1"/>
    </xf>
    <xf numFmtId="14" fontId="0" fillId="33" borderId="0" xfId="0" applyNumberFormat="1" applyFont="1" applyFill="1" applyBorder="1" applyAlignment="1" applyProtection="1">
      <alignment/>
      <protection hidden="1"/>
    </xf>
    <xf numFmtId="0" fontId="22" fillId="0" borderId="0" xfId="0" applyFont="1" applyAlignment="1" applyProtection="1">
      <alignment/>
      <protection hidden="1"/>
    </xf>
    <xf numFmtId="0" fontId="22" fillId="33" borderId="0" xfId="0" applyFont="1" applyFill="1" applyAlignment="1" applyProtection="1">
      <alignment horizontal="center"/>
      <protection hidden="1"/>
    </xf>
    <xf numFmtId="10" fontId="22" fillId="33" borderId="0" xfId="54" applyNumberFormat="1" applyFont="1" applyFill="1" applyAlignment="1" applyProtection="1">
      <alignment horizontal="center"/>
      <protection hidden="1"/>
    </xf>
    <xf numFmtId="2" fontId="22" fillId="33" borderId="0" xfId="0" applyNumberFormat="1" applyFont="1" applyFill="1" applyAlignment="1" applyProtection="1">
      <alignment horizontal="center"/>
      <protection hidden="1"/>
    </xf>
    <xf numFmtId="188" fontId="10" fillId="0" borderId="30" xfId="48" applyNumberFormat="1" applyFont="1" applyBorder="1" applyAlignment="1" applyProtection="1">
      <alignment horizontal="right" indent="1"/>
      <protection hidden="1" locked="0"/>
    </xf>
    <xf numFmtId="191" fontId="6" fillId="34" borderId="17" xfId="54" applyNumberFormat="1" applyFont="1" applyFill="1" applyBorder="1" applyAlignment="1" applyProtection="1">
      <alignment horizontal="center" vertical="center"/>
      <protection hidden="1"/>
    </xf>
    <xf numFmtId="191" fontId="0" fillId="33" borderId="0" xfId="54" applyNumberFormat="1" applyFont="1" applyFill="1" applyAlignment="1" applyProtection="1">
      <alignment/>
      <protection hidden="1"/>
    </xf>
    <xf numFmtId="0" fontId="0" fillId="33" borderId="50" xfId="0" applyFont="1" applyFill="1" applyBorder="1" applyAlignment="1" applyProtection="1">
      <alignment horizontal="center"/>
      <protection hidden="1"/>
    </xf>
    <xf numFmtId="0" fontId="0" fillId="33" borderId="10" xfId="0" applyFont="1" applyFill="1" applyBorder="1" applyAlignment="1" applyProtection="1">
      <alignment horizontal="center"/>
      <protection hidden="1"/>
    </xf>
    <xf numFmtId="14" fontId="0" fillId="33" borderId="10" xfId="0" applyNumberFormat="1" applyFont="1" applyFill="1" applyBorder="1" applyAlignment="1" applyProtection="1">
      <alignment horizontal="center"/>
      <protection hidden="1"/>
    </xf>
    <xf numFmtId="10" fontId="0" fillId="33" borderId="10" xfId="0" applyNumberFormat="1" applyFont="1" applyFill="1" applyBorder="1" applyAlignment="1" applyProtection="1">
      <alignment horizontal="center"/>
      <protection hidden="1"/>
    </xf>
    <xf numFmtId="0" fontId="0" fillId="33" borderId="38" xfId="0" applyFont="1" applyFill="1" applyBorder="1" applyAlignment="1" applyProtection="1">
      <alignment horizontal="center"/>
      <protection hidden="1"/>
    </xf>
    <xf numFmtId="0" fontId="23" fillId="33" borderId="0" xfId="45" applyFont="1" applyFill="1" applyAlignment="1" applyProtection="1">
      <alignment horizontal="center" vertical="center"/>
      <protection hidden="1"/>
    </xf>
    <xf numFmtId="197" fontId="10" fillId="0" borderId="36" xfId="48" applyNumberFormat="1" applyFont="1" applyBorder="1" applyAlignment="1" applyProtection="1">
      <alignment horizontal="right" indent="1"/>
      <protection hidden="1"/>
    </xf>
    <xf numFmtId="10" fontId="11" fillId="36" borderId="30" xfId="54" applyNumberFormat="1" applyFont="1" applyFill="1" applyBorder="1" applyAlignment="1" applyProtection="1">
      <alignment horizontal="center"/>
      <protection locked="0"/>
    </xf>
    <xf numFmtId="0" fontId="23" fillId="0" borderId="0" xfId="45" applyFont="1" applyBorder="1" applyAlignment="1" applyProtection="1">
      <alignment horizontal="center" vertical="center"/>
      <protection hidden="1"/>
    </xf>
    <xf numFmtId="207" fontId="15" fillId="36" borderId="32" xfId="48" applyNumberFormat="1" applyFont="1" applyFill="1" applyBorder="1" applyAlignment="1" applyProtection="1">
      <alignment horizontal="center"/>
      <protection hidden="1"/>
    </xf>
    <xf numFmtId="0" fontId="0" fillId="33" borderId="0" xfId="0" applyFont="1" applyFill="1" applyBorder="1" applyAlignment="1" applyProtection="1">
      <alignment/>
      <protection locked="0"/>
    </xf>
    <xf numFmtId="10" fontId="15" fillId="36" borderId="32" xfId="0" applyNumberFormat="1" applyFont="1" applyFill="1" applyBorder="1" applyAlignment="1" applyProtection="1">
      <alignment horizontal="center"/>
      <protection locked="0"/>
    </xf>
    <xf numFmtId="171" fontId="0" fillId="33" borderId="10" xfId="48" applyNumberFormat="1" applyFont="1" applyFill="1" applyBorder="1" applyAlignment="1" applyProtection="1">
      <alignment/>
      <protection hidden="1" locked="0"/>
    </xf>
    <xf numFmtId="14" fontId="0" fillId="0" borderId="10" xfId="0" applyNumberFormat="1" applyFill="1" applyBorder="1" applyAlignment="1" applyProtection="1">
      <alignment horizontal="center"/>
      <protection hidden="1"/>
    </xf>
    <xf numFmtId="169" fontId="0" fillId="0" borderId="11" xfId="48" applyNumberFormat="1" applyFont="1" applyFill="1" applyBorder="1" applyAlignment="1" applyProtection="1">
      <alignment horizontal="center"/>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6" fontId="0" fillId="0" borderId="21" xfId="48" applyNumberFormat="1" applyFont="1" applyFill="1" applyBorder="1" applyAlignment="1" applyProtection="1">
      <alignment horizontal="right"/>
      <protection hidden="1"/>
    </xf>
    <xf numFmtId="14" fontId="0" fillId="0" borderId="11"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171" fontId="0" fillId="0" borderId="10" xfId="0" applyNumberFormat="1" applyFont="1" applyFill="1" applyBorder="1" applyAlignment="1" applyProtection="1">
      <alignment/>
      <protection hidden="1"/>
    </xf>
    <xf numFmtId="171" fontId="0" fillId="0" borderId="11" xfId="0" applyNumberFormat="1" applyFont="1" applyFill="1" applyBorder="1" applyAlignment="1" applyProtection="1">
      <alignment/>
      <protection hidden="1"/>
    </xf>
    <xf numFmtId="171" fontId="0" fillId="0" borderId="14" xfId="0" applyNumberFormat="1" applyFont="1" applyFill="1" applyBorder="1" applyAlignment="1" applyProtection="1">
      <alignment/>
      <protection hidden="1"/>
    </xf>
    <xf numFmtId="0" fontId="0" fillId="0" borderId="0" xfId="0" applyFont="1" applyFill="1" applyAlignment="1" applyProtection="1">
      <alignment/>
      <protection hidden="1"/>
    </xf>
    <xf numFmtId="0" fontId="0" fillId="37" borderId="0" xfId="0" applyFont="1" applyFill="1" applyAlignment="1" applyProtection="1">
      <alignment/>
      <protection hidden="1"/>
    </xf>
    <xf numFmtId="14" fontId="0" fillId="38" borderId="10" xfId="0" applyNumberFormat="1" applyFill="1" applyBorder="1" applyAlignment="1" applyProtection="1">
      <alignment horizontal="center"/>
      <protection hidden="1"/>
    </xf>
    <xf numFmtId="169" fontId="0" fillId="38" borderId="11" xfId="48" applyNumberFormat="1" applyFont="1" applyFill="1" applyBorder="1" applyAlignment="1" applyProtection="1">
      <alignment horizontal="center"/>
      <protection hidden="1"/>
    </xf>
    <xf numFmtId="191" fontId="0" fillId="38" borderId="11" xfId="54" applyNumberFormat="1" applyFont="1" applyFill="1" applyBorder="1" applyAlignment="1" applyProtection="1">
      <alignment/>
      <protection hidden="1"/>
    </xf>
    <xf numFmtId="196" fontId="0" fillId="38" borderId="11" xfId="48" applyNumberFormat="1" applyFont="1" applyFill="1" applyBorder="1" applyAlignment="1" applyProtection="1">
      <alignment/>
      <protection hidden="1"/>
    </xf>
    <xf numFmtId="196" fontId="0" fillId="38" borderId="11" xfId="48" applyNumberFormat="1" applyFont="1" applyFill="1" applyBorder="1" applyAlignment="1" applyProtection="1">
      <alignment horizontal="right"/>
      <protection hidden="1"/>
    </xf>
    <xf numFmtId="196" fontId="0" fillId="38" borderId="21" xfId="48" applyNumberFormat="1" applyFont="1" applyFill="1" applyBorder="1" applyAlignment="1" applyProtection="1">
      <alignment horizontal="right"/>
      <protection hidden="1"/>
    </xf>
    <xf numFmtId="14" fontId="0" fillId="38" borderId="11"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4" xfId="0" applyFont="1" applyFill="1" applyBorder="1" applyAlignment="1" applyProtection="1">
      <alignment horizontal="center"/>
      <protection hidden="1"/>
    </xf>
    <xf numFmtId="171" fontId="0" fillId="38" borderId="10" xfId="0" applyNumberFormat="1" applyFont="1" applyFill="1" applyBorder="1" applyAlignment="1" applyProtection="1">
      <alignment/>
      <protection hidden="1"/>
    </xf>
    <xf numFmtId="171" fontId="0" fillId="38" borderId="11" xfId="0" applyNumberFormat="1" applyFont="1" applyFill="1" applyBorder="1" applyAlignment="1" applyProtection="1">
      <alignment/>
      <protection hidden="1"/>
    </xf>
    <xf numFmtId="171" fontId="0" fillId="38" borderId="14" xfId="0" applyNumberFormat="1" applyFont="1" applyFill="1" applyBorder="1" applyAlignment="1" applyProtection="1">
      <alignment/>
      <protection hidden="1"/>
    </xf>
    <xf numFmtId="14" fontId="0" fillId="38" borderId="46" xfId="54" applyNumberFormat="1" applyFont="1" applyFill="1" applyBorder="1" applyAlignment="1" applyProtection="1">
      <alignment horizontal="center"/>
      <protection hidden="1"/>
    </xf>
    <xf numFmtId="185" fontId="0" fillId="38" borderId="46" xfId="54" applyNumberFormat="1" applyFont="1" applyFill="1" applyBorder="1" applyAlignment="1" applyProtection="1">
      <alignment horizontal="center"/>
      <protection hidden="1"/>
    </xf>
    <xf numFmtId="0" fontId="0" fillId="38" borderId="0" xfId="0" applyFont="1" applyFill="1" applyBorder="1" applyAlignment="1" applyProtection="1">
      <alignment/>
      <protection hidden="1"/>
    </xf>
    <xf numFmtId="185" fontId="0" fillId="38" borderId="24" xfId="54" applyNumberFormat="1" applyFont="1" applyFill="1" applyBorder="1" applyAlignment="1" applyProtection="1">
      <alignment horizontal="center"/>
      <protection hidden="1"/>
    </xf>
    <xf numFmtId="14" fontId="0" fillId="39" borderId="46" xfId="54" applyNumberFormat="1" applyFont="1" applyFill="1" applyBorder="1" applyAlignment="1" applyProtection="1">
      <alignment horizontal="center"/>
      <protection hidden="1"/>
    </xf>
    <xf numFmtId="185" fontId="0" fillId="39" borderId="46" xfId="54" applyNumberFormat="1" applyFont="1" applyFill="1" applyBorder="1" applyAlignment="1" applyProtection="1">
      <alignment horizontal="center"/>
      <protection hidden="1"/>
    </xf>
    <xf numFmtId="0" fontId="0" fillId="39" borderId="0" xfId="0" applyFont="1" applyFill="1" applyBorder="1" applyAlignment="1" applyProtection="1">
      <alignment/>
      <protection hidden="1"/>
    </xf>
    <xf numFmtId="200" fontId="0" fillId="33" borderId="0" xfId="0" applyNumberFormat="1" applyFont="1" applyFill="1" applyBorder="1" applyAlignment="1" applyProtection="1">
      <alignmen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0" fontId="0" fillId="39" borderId="0" xfId="0" applyFont="1" applyFill="1" applyAlignment="1" applyProtection="1">
      <alignment/>
      <protection hidden="1"/>
    </xf>
    <xf numFmtId="197" fontId="10" fillId="0" borderId="0" xfId="0" applyNumberFormat="1" applyFont="1" applyBorder="1" applyAlignment="1" applyProtection="1">
      <alignmen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38" borderId="11" xfId="54" applyNumberFormat="1" applyFont="1" applyFill="1" applyBorder="1" applyAlignment="1" applyProtection="1">
      <alignment/>
      <protection hidden="1"/>
    </xf>
    <xf numFmtId="196" fontId="0" fillId="38" borderId="11" xfId="48" applyNumberFormat="1" applyFont="1" applyFill="1" applyBorder="1" applyAlignment="1" applyProtection="1">
      <alignment/>
      <protection hidden="1"/>
    </xf>
    <xf numFmtId="196" fontId="0" fillId="38"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4" fontId="0" fillId="39" borderId="10" xfId="0" applyNumberFormat="1" applyFill="1" applyBorder="1" applyAlignment="1" applyProtection="1">
      <alignment horizontal="center"/>
      <protection hidden="1"/>
    </xf>
    <xf numFmtId="169" fontId="0" fillId="39" borderId="11" xfId="48" applyNumberFormat="1" applyFont="1" applyFill="1" applyBorder="1" applyAlignment="1" applyProtection="1">
      <alignment horizontal="center"/>
      <protection hidden="1"/>
    </xf>
    <xf numFmtId="196" fontId="0" fillId="39" borderId="21" xfId="48" applyNumberFormat="1" applyFont="1" applyFill="1" applyBorder="1" applyAlignment="1" applyProtection="1">
      <alignment horizontal="right"/>
      <protection hidden="1"/>
    </xf>
    <xf numFmtId="14" fontId="0" fillId="39" borderId="11" xfId="0" applyNumberFormat="1" applyFont="1" applyFill="1" applyBorder="1" applyAlignment="1" applyProtection="1">
      <alignment horizontal="center"/>
      <protection hidden="1"/>
    </xf>
    <xf numFmtId="0" fontId="0" fillId="39" borderId="0" xfId="0" applyFont="1" applyFill="1" applyBorder="1" applyAlignment="1" applyProtection="1">
      <alignment horizontal="center"/>
      <protection hidden="1"/>
    </xf>
    <xf numFmtId="0" fontId="0" fillId="39" borderId="14" xfId="0" applyFont="1" applyFill="1" applyBorder="1" applyAlignment="1" applyProtection="1">
      <alignment horizontal="center"/>
      <protection hidden="1"/>
    </xf>
    <xf numFmtId="171" fontId="0" fillId="39" borderId="10" xfId="0" applyNumberFormat="1" applyFont="1" applyFill="1" applyBorder="1" applyAlignment="1" applyProtection="1">
      <alignment/>
      <protection hidden="1"/>
    </xf>
    <xf numFmtId="171" fontId="0" fillId="39" borderId="11" xfId="0" applyNumberFormat="1" applyFont="1" applyFill="1" applyBorder="1" applyAlignment="1" applyProtection="1">
      <alignment/>
      <protection hidden="1"/>
    </xf>
    <xf numFmtId="171" fontId="0" fillId="39" borderId="14" xfId="0" applyNumberFormat="1" applyFont="1" applyFill="1" applyBorder="1" applyAlignment="1" applyProtection="1">
      <alignmen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4" fontId="62" fillId="36" borderId="32" xfId="0" applyNumberFormat="1" applyFont="1" applyFill="1" applyBorder="1" applyAlignment="1" applyProtection="1">
      <alignment horizontal="center"/>
      <protection hidden="1" locked="0"/>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200" fontId="0" fillId="33" borderId="0" xfId="0" applyNumberFormat="1" applyFont="1" applyFill="1" applyBorder="1" applyAlignment="1" applyProtection="1">
      <alignment/>
      <protection locked="0"/>
    </xf>
    <xf numFmtId="0" fontId="14" fillId="34" borderId="31" xfId="0" applyFont="1" applyFill="1" applyBorder="1" applyAlignment="1" applyProtection="1">
      <alignment horizontal="center"/>
      <protection hidden="1"/>
    </xf>
    <xf numFmtId="0" fontId="14" fillId="34" borderId="32" xfId="0" applyFont="1" applyFill="1" applyBorder="1" applyAlignment="1" applyProtection="1">
      <alignment horizontal="center"/>
      <protection hidden="1"/>
    </xf>
    <xf numFmtId="0" fontId="14" fillId="34" borderId="0" xfId="0" applyFont="1" applyFill="1" applyBorder="1" applyAlignment="1" applyProtection="1">
      <alignment horizontal="center" vertical="center"/>
      <protection hidden="1"/>
    </xf>
    <xf numFmtId="0" fontId="14" fillId="34" borderId="51" xfId="0" applyFont="1" applyFill="1" applyBorder="1" applyAlignment="1" applyProtection="1">
      <alignment horizontal="center"/>
      <protection hidden="1"/>
    </xf>
    <xf numFmtId="0" fontId="14" fillId="34" borderId="35" xfId="0" applyFont="1" applyFill="1" applyBorder="1" applyAlignment="1" applyProtection="1">
      <alignment horizontal="center"/>
      <protection hidden="1"/>
    </xf>
    <xf numFmtId="0" fontId="6" fillId="34" borderId="12" xfId="0" applyFont="1" applyFill="1" applyBorder="1" applyAlignment="1" applyProtection="1">
      <alignment horizontal="center"/>
      <protection hidden="1"/>
    </xf>
    <xf numFmtId="0" fontId="6" fillId="34" borderId="48" xfId="0" applyFont="1" applyFill="1" applyBorder="1" applyAlignment="1" applyProtection="1">
      <alignment horizontal="center"/>
      <protection hidden="1"/>
    </xf>
    <xf numFmtId="0" fontId="5" fillId="0" borderId="12"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5" fillId="0" borderId="48" xfId="0" applyFont="1" applyFill="1" applyBorder="1" applyAlignment="1" applyProtection="1">
      <alignment horizontal="center"/>
      <protection hidden="1"/>
    </xf>
    <xf numFmtId="182" fontId="18" fillId="0" borderId="49" xfId="54" applyNumberFormat="1" applyFont="1" applyFill="1" applyBorder="1" applyAlignment="1" applyProtection="1">
      <alignment horizontal="center" vertical="center" wrapText="1"/>
      <protection hidden="1"/>
    </xf>
    <xf numFmtId="0" fontId="18" fillId="0" borderId="45" xfId="0" applyFont="1" applyFill="1" applyBorder="1" applyAlignment="1" applyProtection="1">
      <alignment horizontal="center" vertical="center" wrapText="1"/>
      <protection hidden="1"/>
    </xf>
    <xf numFmtId="0" fontId="0" fillId="33" borderId="0" xfId="0" applyNumberFormat="1" applyFill="1" applyAlignment="1" applyProtection="1">
      <alignment horizontal="justify" vertical="justify" wrapText="1"/>
      <protection hidden="1"/>
    </xf>
    <xf numFmtId="0" fontId="0" fillId="0" borderId="0" xfId="0" applyAlignment="1" applyProtection="1">
      <alignment horizontal="justify" vertical="justify" wrapText="1"/>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39" borderId="11" xfId="54" applyNumberFormat="1" applyFont="1" applyFill="1" applyBorder="1" applyAlignment="1" applyProtection="1">
      <alignment/>
      <protection hidden="1"/>
    </xf>
    <xf numFmtId="196" fontId="0" fillId="39" borderId="11" xfId="48" applyNumberFormat="1" applyFont="1" applyFill="1" applyBorder="1" applyAlignment="1" applyProtection="1">
      <alignment/>
      <protection hidden="1"/>
    </xf>
    <xf numFmtId="196" fontId="0" fillId="39" borderId="11" xfId="48" applyNumberFormat="1" applyFont="1" applyFill="1" applyBorder="1" applyAlignment="1" applyProtection="1">
      <alignment horizontal="right"/>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6975"/>
          <c:w val="0.9805"/>
          <c:h val="0.959"/>
        </c:manualLayout>
      </c:layout>
      <c:scatterChart>
        <c:scatterStyle val="lineMarker"/>
        <c:varyColors val="0"/>
        <c:ser>
          <c:idx val="0"/>
          <c:order val="0"/>
          <c:tx>
            <c:v>TES UVR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FF"/>
                </a:solidFill>
              </a:ln>
            </c:spPr>
            <c:trendlineType val="poly"/>
            <c:order val="2"/>
            <c:dispEq val="0"/>
            <c:dispRSqr val="0"/>
          </c:trendline>
          <c:xVal>
            <c:numRef>
              <c:f>'CALCULADORA TIPS E-6'!$F$26:$F$39</c:f>
              <c:numCache/>
            </c:numRef>
          </c:xVal>
          <c:yVal>
            <c:numRef>
              <c:f>'CALCULADORA TIPS E-6'!$C$28:$C$39</c:f>
              <c:numCache/>
            </c:numRef>
          </c:yVal>
          <c:smooth val="0"/>
        </c:ser>
        <c:ser>
          <c:idx val="1"/>
          <c:order val="1"/>
          <c:tx>
            <c:v>TIPs sin beneficio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00"/>
              </a:solidFill>
              <a:ln>
                <a:solidFill>
                  <a:srgbClr val="FF00FF"/>
                </a:solidFill>
              </a:ln>
            </c:spPr>
          </c:marker>
          <c:xVal>
            <c:numRef>
              <c:f>'CALCULADORA TIPS E-6'!$C$21</c:f>
              <c:numCache/>
            </c:numRef>
          </c:xVal>
          <c:yVal>
            <c:numRef>
              <c:f>'CALCULADORA TIPS E-6'!$F$11</c:f>
              <c:numCache/>
            </c:numRef>
          </c:yVal>
          <c:smooth val="0"/>
        </c:ser>
        <c:ser>
          <c:idx val="2"/>
          <c:order val="2"/>
          <c:tx>
            <c:v>TIPs con beneficio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0000"/>
              </a:solidFill>
              <a:ln>
                <a:solidFill>
                  <a:srgbClr val="FFFF00"/>
                </a:solidFill>
              </a:ln>
            </c:spPr>
          </c:marker>
          <c:xVal>
            <c:numRef>
              <c:f>'CALCULADORA TIPS E-6'!$C$21</c:f>
              <c:numCache/>
            </c:numRef>
          </c:xVal>
          <c:yVal>
            <c:numRef>
              <c:f>'CALCULADORA TIPS E-6'!$E$25</c:f>
              <c:numCache/>
            </c:numRef>
          </c:yVal>
          <c:smooth val="0"/>
        </c:ser>
        <c:axId val="6829867"/>
        <c:axId val="61468804"/>
      </c:scatterChart>
      <c:valAx>
        <c:axId val="6829867"/>
        <c:scaling>
          <c:orientation val="minMax"/>
          <c:max val="10"/>
          <c:min val="0"/>
        </c:scaling>
        <c:axPos val="b"/>
        <c:title>
          <c:tx>
            <c:rich>
              <a:bodyPr vert="horz" rot="0" anchor="ctr"/>
              <a:lstStyle/>
              <a:p>
                <a:pPr algn="ctr">
                  <a:defRPr/>
                </a:pPr>
                <a:r>
                  <a:rPr lang="en-US" cap="none" sz="750" b="0" i="0" u="none" baseline="0">
                    <a:solidFill>
                      <a:srgbClr val="000000"/>
                    </a:solidFill>
                    <a:latin typeface="Arial"/>
                    <a:ea typeface="Arial"/>
                    <a:cs typeface="Arial"/>
                  </a:rPr>
                  <a:t>Duración (Años)</a:t>
                </a:r>
              </a:p>
            </c:rich>
          </c:tx>
          <c:layout>
            <c:manualLayout>
              <c:xMode val="factor"/>
              <c:yMode val="factor"/>
              <c:x val="0.0107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68804"/>
        <c:crosses val="autoZero"/>
        <c:crossBetween val="midCat"/>
        <c:dispUnits/>
      </c:valAx>
      <c:valAx>
        <c:axId val="61468804"/>
        <c:scaling>
          <c:orientation val="minMax"/>
          <c:max val="0.08"/>
          <c:min val="0"/>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29867"/>
        <c:crosses val="autoZero"/>
        <c:crossBetween val="midCat"/>
        <c:dispUnits/>
      </c:valAx>
      <c:spPr>
        <a:solidFill>
          <a:srgbClr val="FFFFFF"/>
        </a:solidFill>
        <a:ln w="3175">
          <a:noFill/>
        </a:ln>
      </c:spPr>
    </c:plotArea>
    <c:legend>
      <c:legendPos val="r"/>
      <c:legendEntry>
        <c:idx val="3"/>
        <c:delete val="1"/>
      </c:legendEntry>
      <c:layout>
        <c:manualLayout>
          <c:xMode val="edge"/>
          <c:yMode val="edge"/>
          <c:x val="0.632"/>
          <c:y val="0.691"/>
          <c:w val="0.35225"/>
          <c:h val="0.181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9525</xdr:rowOff>
    </xdr:from>
    <xdr:to>
      <xdr:col>1</xdr:col>
      <xdr:colOff>1219200</xdr:colOff>
      <xdr:row>7</xdr:row>
      <xdr:rowOff>95250</xdr:rowOff>
    </xdr:to>
    <xdr:pic>
      <xdr:nvPicPr>
        <xdr:cNvPr id="1" name="Picture 8"/>
        <xdr:cNvPicPr preferRelativeResize="1">
          <a:picLocks noChangeAspect="1"/>
        </xdr:cNvPicPr>
      </xdr:nvPicPr>
      <xdr:blipFill>
        <a:blip r:embed="rId1"/>
        <a:stretch>
          <a:fillRect/>
        </a:stretch>
      </xdr:blipFill>
      <xdr:spPr>
        <a:xfrm>
          <a:off x="314325" y="190500"/>
          <a:ext cx="1152525" cy="1219200"/>
        </a:xfrm>
        <a:prstGeom prst="rect">
          <a:avLst/>
        </a:prstGeom>
        <a:noFill/>
        <a:ln w="9525" cmpd="sng">
          <a:noFill/>
        </a:ln>
      </xdr:spPr>
    </xdr:pic>
    <xdr:clientData/>
  </xdr:twoCellAnchor>
  <xdr:twoCellAnchor>
    <xdr:from>
      <xdr:col>4</xdr:col>
      <xdr:colOff>47625</xdr:colOff>
      <xdr:row>21</xdr:row>
      <xdr:rowOff>133350</xdr:rowOff>
    </xdr:from>
    <xdr:to>
      <xdr:col>6</xdr:col>
      <xdr:colOff>57150</xdr:colOff>
      <xdr:row>38</xdr:row>
      <xdr:rowOff>133350</xdr:rowOff>
    </xdr:to>
    <xdr:graphicFrame>
      <xdr:nvGraphicFramePr>
        <xdr:cNvPr id="2" name="Gráfico 1269"/>
        <xdr:cNvGraphicFramePr/>
      </xdr:nvGraphicFramePr>
      <xdr:xfrm>
        <a:off x="4295775" y="4143375"/>
        <a:ext cx="3762375" cy="30765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server\Tesoreria\Bases%20de%20Datos\Base%20UV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F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K39"/>
  <sheetViews>
    <sheetView showGridLines="0" tabSelected="1" zoomScale="95" zoomScaleNormal="95" zoomScalePageLayoutView="0" workbookViewId="0" topLeftCell="A1">
      <selection activeCell="F12" sqref="F12"/>
    </sheetView>
  </sheetViews>
  <sheetFormatPr defaultColWidth="0" defaultRowHeight="12.75" zeroHeight="1"/>
  <cols>
    <col min="1" max="1" width="3.7109375" style="49" customWidth="1"/>
    <col min="2" max="2" width="32.7109375" style="49" customWidth="1"/>
    <col min="3" max="3" width="23.57421875" style="49" bestFit="1" customWidth="1"/>
    <col min="4" max="4" width="3.7109375" style="49" customWidth="1"/>
    <col min="5" max="5" width="32.7109375" style="49" customWidth="1"/>
    <col min="6" max="6" width="23.57421875" style="49" customWidth="1"/>
    <col min="7" max="7" width="3.7109375" style="49" customWidth="1"/>
    <col min="8" max="8" width="17.57421875" style="57" hidden="1" customWidth="1"/>
    <col min="9" max="9" width="3.7109375" style="57" hidden="1" customWidth="1"/>
    <col min="10" max="10" width="12.140625" style="57" hidden="1" customWidth="1"/>
    <col min="11" max="11" width="13.00390625" style="59" hidden="1" customWidth="1"/>
    <col min="12" max="16384" width="11.421875" style="52" hidden="1" customWidth="1"/>
  </cols>
  <sheetData>
    <row r="1" spans="1:11" ht="14.25">
      <c r="A1" s="50"/>
      <c r="B1" s="51"/>
      <c r="C1" s="51"/>
      <c r="D1" s="51"/>
      <c r="E1" s="51"/>
      <c r="F1" s="51"/>
      <c r="G1" s="51"/>
      <c r="H1" s="52" t="str">
        <f>+Características!B1</f>
        <v>TIPS E-6 A 2009</v>
      </c>
      <c r="I1" s="52"/>
      <c r="J1" s="53" t="s">
        <v>75</v>
      </c>
      <c r="K1" s="54"/>
    </row>
    <row r="2" spans="1:10" ht="14.25">
      <c r="A2" s="50"/>
      <c r="B2" s="55"/>
      <c r="C2" s="266" t="s">
        <v>86</v>
      </c>
      <c r="D2" s="266"/>
      <c r="E2" s="266"/>
      <c r="F2" s="56"/>
      <c r="G2" s="56"/>
      <c r="H2" s="57" t="str">
        <f>+Características!C1</f>
        <v>TIPS E-6 A 2014</v>
      </c>
      <c r="J2" s="58">
        <f>+Características!E2</f>
        <v>40776</v>
      </c>
    </row>
    <row r="3" spans="1:10" ht="15" customHeight="1">
      <c r="A3" s="50"/>
      <c r="B3" s="60"/>
      <c r="C3" s="146"/>
      <c r="D3" s="146"/>
      <c r="E3" s="60"/>
      <c r="F3" s="60"/>
      <c r="G3" s="60"/>
      <c r="H3" s="57" t="str">
        <f>+Características!D1</f>
        <v>TIPS E-6 A 2019</v>
      </c>
      <c r="J3" s="91">
        <f>+Características!E3</f>
        <v>40777</v>
      </c>
    </row>
    <row r="4" spans="1:10" ht="15" customHeight="1">
      <c r="A4" s="50"/>
      <c r="B4" s="61"/>
      <c r="C4" s="62" t="s">
        <v>30</v>
      </c>
      <c r="D4" s="63"/>
      <c r="E4" s="241" t="s">
        <v>89</v>
      </c>
      <c r="F4" s="64"/>
      <c r="G4" s="64"/>
      <c r="H4" s="52" t="s">
        <v>37</v>
      </c>
      <c r="J4" s="91">
        <f>+Características!E4</f>
        <v>40778</v>
      </c>
    </row>
    <row r="5" spans="1:10" ht="15" customHeight="1">
      <c r="A5" s="50"/>
      <c r="B5" s="50"/>
      <c r="C5" s="65"/>
      <c r="F5" s="219"/>
      <c r="G5" s="64"/>
      <c r="H5" s="52" t="s">
        <v>64</v>
      </c>
      <c r="J5" s="91">
        <f>+Características!E5</f>
        <v>40779</v>
      </c>
    </row>
    <row r="6" spans="1:10" ht="15" customHeight="1">
      <c r="A6" s="50"/>
      <c r="B6" s="61"/>
      <c r="C6" s="66" t="s">
        <v>10</v>
      </c>
      <c r="D6" s="66"/>
      <c r="E6" s="144">
        <v>40777</v>
      </c>
      <c r="F6" s="219"/>
      <c r="G6" s="64"/>
      <c r="H6" s="52" t="s">
        <v>65</v>
      </c>
      <c r="J6" s="91">
        <f>+Características!E6</f>
        <v>40780</v>
      </c>
    </row>
    <row r="7" spans="1:10" ht="15" customHeight="1">
      <c r="A7" s="50"/>
      <c r="B7" s="50"/>
      <c r="C7" s="67"/>
      <c r="D7" s="67"/>
      <c r="E7" s="64"/>
      <c r="F7" s="219"/>
      <c r="G7" s="64"/>
      <c r="H7" s="52" t="s">
        <v>66</v>
      </c>
      <c r="J7" s="91">
        <f>+Características!E7</f>
        <v>40781</v>
      </c>
    </row>
    <row r="8" spans="1:10" ht="15" customHeight="1">
      <c r="A8" s="50"/>
      <c r="B8" s="50"/>
      <c r="C8" s="64"/>
      <c r="D8" s="64"/>
      <c r="E8" s="176" t="s">
        <v>85</v>
      </c>
      <c r="F8" s="143" t="s">
        <v>78</v>
      </c>
      <c r="G8" s="64"/>
      <c r="H8" s="68">
        <v>0.2</v>
      </c>
      <c r="J8" s="91">
        <f>+Características!E8</f>
        <v>40782</v>
      </c>
    </row>
    <row r="9" spans="1:10" ht="15" customHeight="1">
      <c r="A9" s="50"/>
      <c r="B9" s="264" t="s">
        <v>26</v>
      </c>
      <c r="C9" s="265"/>
      <c r="D9" s="69"/>
      <c r="E9" s="267" t="s">
        <v>31</v>
      </c>
      <c r="F9" s="268"/>
      <c r="G9" s="64"/>
      <c r="H9" s="52" t="s">
        <v>38</v>
      </c>
      <c r="J9" s="91">
        <f>+Características!E9</f>
        <v>40783</v>
      </c>
    </row>
    <row r="10" spans="1:10" ht="15" customHeight="1">
      <c r="A10" s="50"/>
      <c r="B10" s="70" t="s">
        <v>27</v>
      </c>
      <c r="C10" s="71" t="str">
        <f>+HLOOKUP(E4,Características!B1:D7,2,FALSE)</f>
        <v>IRST15211219</v>
      </c>
      <c r="D10" s="72"/>
      <c r="E10" s="145" t="s">
        <v>47</v>
      </c>
      <c r="F10" s="157" t="s">
        <v>38</v>
      </c>
      <c r="G10" s="64"/>
      <c r="J10" s="91">
        <f>+Características!E10</f>
        <v>40784</v>
      </c>
    </row>
    <row r="11" spans="1:10" ht="15" customHeight="1">
      <c r="A11" s="61"/>
      <c r="B11" s="73" t="s">
        <v>82</v>
      </c>
      <c r="C11" s="74" t="str">
        <f>+HLOOKUP(E4,Características!B1:D7,3,FALSE)</f>
        <v>COF80TI00568</v>
      </c>
      <c r="D11" s="72"/>
      <c r="E11" s="75" t="s">
        <v>32</v>
      </c>
      <c r="F11" s="138">
        <v>0.0448</v>
      </c>
      <c r="G11" s="64"/>
      <c r="J11" s="91">
        <f>+Características!E11</f>
        <v>40785</v>
      </c>
    </row>
    <row r="12" spans="1:10" ht="15" customHeight="1">
      <c r="A12" s="61"/>
      <c r="B12" s="73" t="s">
        <v>7</v>
      </c>
      <c r="C12" s="74">
        <f>+HLOOKUP(E4,Características!B1:D7,4,FALSE)</f>
        <v>38342</v>
      </c>
      <c r="D12" s="76"/>
      <c r="E12" s="77" t="s">
        <v>2</v>
      </c>
      <c r="F12" s="139" t="e">
        <v>#DIV/0!</v>
      </c>
      <c r="G12" s="64"/>
      <c r="J12" s="91">
        <f>+Características!E12</f>
        <v>40786</v>
      </c>
    </row>
    <row r="13" spans="1:10" ht="14.25">
      <c r="A13" s="61"/>
      <c r="B13" s="73" t="s">
        <v>33</v>
      </c>
      <c r="C13" s="74">
        <f>+HLOOKUP(E4,Características!B1:D7,5,FALSE)</f>
        <v>43820</v>
      </c>
      <c r="D13" s="76"/>
      <c r="E13" s="69" t="s">
        <v>36</v>
      </c>
      <c r="F13" s="165" t="e">
        <v>#DIV/0!</v>
      </c>
      <c r="G13" s="64"/>
      <c r="J13" s="91">
        <f>+Características!E13</f>
        <v>40787</v>
      </c>
    </row>
    <row r="14" spans="1:10" ht="14.25">
      <c r="A14" s="61"/>
      <c r="B14" s="73" t="s">
        <v>34</v>
      </c>
      <c r="C14" s="79">
        <f>+HLOOKUP(E4,Características!B1:D7,6,FALSE)</f>
        <v>0.0448</v>
      </c>
      <c r="D14" s="76"/>
      <c r="E14" s="73" t="s">
        <v>39</v>
      </c>
      <c r="F14" s="80" t="e">
        <f>+VLOOKUP(0,'Flujos Mensuales'!D2:I182,6,FALSE)</f>
        <v>#N/A</v>
      </c>
      <c r="G14" s="64"/>
      <c r="J14" s="91">
        <f>+Características!E14</f>
        <v>40788</v>
      </c>
    </row>
    <row r="15" spans="1:10" ht="14.25">
      <c r="A15" s="61"/>
      <c r="B15" s="73" t="s">
        <v>35</v>
      </c>
      <c r="C15" s="79">
        <f>+_XLL.TASA.NOMINAL(C14,12)</f>
        <v>0.04390560508049024</v>
      </c>
      <c r="D15" s="76"/>
      <c r="E15" s="69" t="s">
        <v>45</v>
      </c>
      <c r="F15" s="81">
        <f>+'Flujos Mensuales'!C183*100</f>
        <v>0</v>
      </c>
      <c r="G15" s="64"/>
      <c r="J15" s="91">
        <f>+Características!E15</f>
        <v>40789</v>
      </c>
    </row>
    <row r="16" spans="1:10" ht="14.25">
      <c r="A16" s="61"/>
      <c r="B16" s="82" t="s">
        <v>25</v>
      </c>
      <c r="C16" s="83" t="str">
        <f>+HLOOKUP(E4,Características!B1:D7,7,FALSE)</f>
        <v>UVR</v>
      </c>
      <c r="D16" s="76"/>
      <c r="E16" s="77" t="s">
        <v>46</v>
      </c>
      <c r="F16" s="140">
        <v>10000000</v>
      </c>
      <c r="G16" s="64"/>
      <c r="J16" s="91">
        <f>+Características!E16</f>
        <v>40790</v>
      </c>
    </row>
    <row r="17" spans="1:10" ht="14.25">
      <c r="A17" s="50"/>
      <c r="B17" s="64"/>
      <c r="C17" s="64"/>
      <c r="D17" s="76"/>
      <c r="E17" s="78" t="s">
        <v>63</v>
      </c>
      <c r="F17" s="174" t="e">
        <f>+Características!B20</f>
        <v>#DIV/0!</v>
      </c>
      <c r="G17" s="64"/>
      <c r="J17" s="91">
        <f>+Características!E17</f>
        <v>40791</v>
      </c>
    </row>
    <row r="18" spans="1:10" ht="16.5" customHeight="1">
      <c r="A18" s="61"/>
      <c r="B18" s="141" t="s">
        <v>19</v>
      </c>
      <c r="C18" s="84" t="e">
        <f>+SUMPRODUCT('Flujos Mensuales'!B2:B182,'Flujos Mensuales'!C2:C182)/'Flujos Mensuales'!C183/365</f>
        <v>#DIV/0!</v>
      </c>
      <c r="D18" s="85"/>
      <c r="E18" s="64"/>
      <c r="F18" s="67"/>
      <c r="G18" s="64"/>
      <c r="J18" s="91">
        <f>+Características!E18</f>
        <v>40792</v>
      </c>
    </row>
    <row r="19" spans="1:10" ht="16.5" customHeight="1">
      <c r="A19" s="61"/>
      <c r="B19" s="86" t="s">
        <v>20</v>
      </c>
      <c r="C19" s="87">
        <f>+SUMPRODUCT('Flujos Mensuales'!C2:C182,'Flujos Mensuales'!K2:K182)/365</f>
        <v>5.555687681342466</v>
      </c>
      <c r="D19" s="50"/>
      <c r="E19" s="64"/>
      <c r="F19" s="88"/>
      <c r="G19" s="64"/>
      <c r="J19" s="91">
        <f>+Características!E19</f>
        <v>40793</v>
      </c>
    </row>
    <row r="20" spans="1:10" ht="16.5" customHeight="1">
      <c r="A20" s="61"/>
      <c r="B20" s="86" t="s">
        <v>3</v>
      </c>
      <c r="C20" s="87" t="e">
        <f>+SUMPRODUCT('Flujos Mensuales'!B2:B182,'Flujos Mensuales'!H2:H182)/'Flujos Mensuales'!H183/365</f>
        <v>#DIV/0!</v>
      </c>
      <c r="D20" s="50"/>
      <c r="E20" s="64"/>
      <c r="F20" s="88"/>
      <c r="G20" s="64"/>
      <c r="J20" s="91">
        <f>+Características!E20</f>
        <v>40794</v>
      </c>
    </row>
    <row r="21" spans="1:10" ht="16.5" customHeight="1">
      <c r="A21" s="61"/>
      <c r="B21" s="89" t="s">
        <v>4</v>
      </c>
      <c r="C21" s="90" t="e">
        <f>+C20/(1+F11)</f>
        <v>#DIV/0!</v>
      </c>
      <c r="D21" s="50"/>
      <c r="E21" s="64"/>
      <c r="F21" s="88"/>
      <c r="G21" s="64"/>
      <c r="J21" s="91">
        <f>+Características!E21</f>
        <v>40795</v>
      </c>
    </row>
    <row r="22" ht="14.25">
      <c r="J22" s="91">
        <f>+Características!E22</f>
        <v>40796</v>
      </c>
    </row>
    <row r="23" spans="2:10" ht="14.25">
      <c r="B23" s="46" t="s">
        <v>81</v>
      </c>
      <c r="C23" s="177">
        <f>IF(VLOOKUP(E6,UVR!$A$2:$B$32,2,FALSE)=0,"Actualizar base",VLOOKUP(E6,UVR!$A$2:$B$32,2,FALSE))</f>
        <v>197.1613</v>
      </c>
      <c r="E23" s="161"/>
      <c r="F23" s="161"/>
      <c r="J23" s="91">
        <f>+Características!E23</f>
        <v>40797</v>
      </c>
    </row>
    <row r="24" spans="5:10" ht="14.25">
      <c r="E24" s="162" t="s">
        <v>73</v>
      </c>
      <c r="F24" s="161"/>
      <c r="J24" s="91"/>
    </row>
    <row r="25" spans="2:6" ht="14.25">
      <c r="B25" s="46" t="s">
        <v>72</v>
      </c>
      <c r="C25" s="179">
        <v>0.35</v>
      </c>
      <c r="E25" s="163">
        <f>+F11/(1-C25)</f>
        <v>0.06892307692307692</v>
      </c>
      <c r="F25" s="162" t="s">
        <v>74</v>
      </c>
    </row>
    <row r="26" spans="5:6" ht="14.25">
      <c r="E26" s="163">
        <v>0.07</v>
      </c>
      <c r="F26" s="164">
        <f aca="true" t="shared" si="0" ref="F26:F32">IF(OR(C28=0,C28=""),0,_XLL.DURACION.MODIF($E$6,B28,E26,C28,1))</f>
        <v>0.027637030458583196</v>
      </c>
    </row>
    <row r="27" spans="2:6" ht="14.25">
      <c r="B27" s="264" t="s">
        <v>80</v>
      </c>
      <c r="C27" s="265"/>
      <c r="E27" s="163">
        <v>0.08</v>
      </c>
      <c r="F27" s="164">
        <f t="shared" si="0"/>
        <v>0.3966252002605843</v>
      </c>
    </row>
    <row r="28" spans="2:6" ht="14.25">
      <c r="B28" s="47">
        <v>40788</v>
      </c>
      <c r="C28" s="175">
        <v>0.005092707749677258</v>
      </c>
      <c r="E28" s="163">
        <v>0.07</v>
      </c>
      <c r="F28" s="164">
        <f t="shared" si="0"/>
        <v>0.7167204396889053</v>
      </c>
    </row>
    <row r="29" spans="2:6" ht="14.25">
      <c r="B29" s="47">
        <v>40925</v>
      </c>
      <c r="C29" s="175">
        <v>0.015512321237156033</v>
      </c>
      <c r="E29" s="163">
        <v>0.07</v>
      </c>
      <c r="F29" s="164">
        <f t="shared" si="0"/>
        <v>1.4797586604878061</v>
      </c>
    </row>
    <row r="30" spans="2:6" ht="14.25">
      <c r="B30" s="47">
        <v>41044</v>
      </c>
      <c r="C30" s="175">
        <v>0.01930336446474913</v>
      </c>
      <c r="E30" s="163">
        <v>0.0525</v>
      </c>
      <c r="F30" s="164">
        <f t="shared" si="0"/>
        <v>3.124902380988181</v>
      </c>
    </row>
    <row r="31" spans="2:6" ht="14.25">
      <c r="B31" s="47">
        <v>41353</v>
      </c>
      <c r="C31" s="175">
        <v>0.023818010280200922</v>
      </c>
      <c r="E31" s="163">
        <v>0.07</v>
      </c>
      <c r="F31" s="164">
        <f t="shared" si="0"/>
        <v>4.754904725323321</v>
      </c>
    </row>
    <row r="32" spans="2:6" ht="14.25">
      <c r="B32" s="47">
        <v>42060</v>
      </c>
      <c r="C32" s="175">
        <v>0.03350327564945636</v>
      </c>
      <c r="E32" s="163">
        <v>0.0475</v>
      </c>
      <c r="F32" s="164">
        <f t="shared" si="0"/>
        <v>8.692427160746803</v>
      </c>
    </row>
    <row r="33" spans="2:6" ht="14.25">
      <c r="B33" s="47">
        <v>42872</v>
      </c>
      <c r="C33" s="175">
        <v>0.034622780709309124</v>
      </c>
      <c r="E33" s="163">
        <v>0.0475</v>
      </c>
      <c r="F33" s="164">
        <f>IF(OR(C35=0,C35=""),0,_XLL.DURACION.MODIF($E$6,B35,E33,C35,1))</f>
        <v>0</v>
      </c>
    </row>
    <row r="34" spans="2:6" ht="14.25">
      <c r="B34" s="48">
        <v>44980</v>
      </c>
      <c r="C34" s="175">
        <v>0.03899125305626889</v>
      </c>
      <c r="E34" s="163"/>
      <c r="F34" s="164"/>
    </row>
    <row r="35" spans="2:6" ht="14.25">
      <c r="B35" s="142" t="s">
        <v>77</v>
      </c>
      <c r="E35" s="163"/>
      <c r="F35" s="164"/>
    </row>
    <row r="36" spans="2:6" ht="14.25">
      <c r="B36" s="142"/>
      <c r="E36" s="163"/>
      <c r="F36" s="164"/>
    </row>
    <row r="37" spans="5:6" ht="14.25">
      <c r="E37" s="163"/>
      <c r="F37" s="164"/>
    </row>
    <row r="38" spans="5:6" ht="14.25">
      <c r="E38" s="163"/>
      <c r="F38" s="164"/>
    </row>
    <row r="39" spans="5:6" ht="14.25">
      <c r="E39" s="163"/>
      <c r="F39" s="164"/>
    </row>
    <row r="40" ht="14.25"/>
    <row r="41" ht="14.25"/>
  </sheetData>
  <sheetProtection/>
  <protectedRanges>
    <protectedRange sqref="E6 E4" name="Rango1"/>
  </protectedRanges>
  <mergeCells count="4">
    <mergeCell ref="B27:C27"/>
    <mergeCell ref="C2:E2"/>
    <mergeCell ref="B9:C9"/>
    <mergeCell ref="E9:F9"/>
  </mergeCells>
  <dataValidations count="2">
    <dataValidation type="list" allowBlank="1" showInputMessage="1" showErrorMessage="1" sqref="F10">
      <formula1>$H$4:$H$9</formula1>
    </dataValidation>
    <dataValidation type="list" showInputMessage="1" showErrorMessage="1" sqref="E4">
      <formula1>$H$3</formula1>
    </dataValidation>
  </dataValidations>
  <hyperlinks>
    <hyperlink ref="E8" location="Exclusión!A16" display="Exclusión de responsabilidad"/>
  </hyperlinks>
  <printOptions/>
  <pageMargins left="0.5905511811023623" right="0.5905511811023623" top="0.984251968503937" bottom="0.984251968503937" header="0" footer="0"/>
  <pageSetup horizontalDpi="600" verticalDpi="600" orientation="landscape" r:id="rId4"/>
  <ignoredErrors>
    <ignoredError sqref="J1"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Hoja4"/>
  <dimension ref="A1:F240"/>
  <sheetViews>
    <sheetView zoomScalePageLayoutView="0" workbookViewId="0" topLeftCell="A15">
      <selection activeCell="B39" sqref="B39"/>
    </sheetView>
  </sheetViews>
  <sheetFormatPr defaultColWidth="21.140625" defaultRowHeight="12.75"/>
  <cols>
    <col min="1" max="1" width="25.7109375" style="105" customWidth="1"/>
    <col min="2" max="3" width="25.7109375" style="25" customWidth="1"/>
    <col min="4" max="4" width="21.140625" style="105" customWidth="1"/>
    <col min="5" max="5" width="11.421875" style="105" bestFit="1" customWidth="1"/>
    <col min="6" max="6" width="10.140625" style="105" bestFit="1" customWidth="1"/>
    <col min="7" max="7" width="2.57421875" style="105" customWidth="1"/>
    <col min="8" max="16384" width="21.140625" style="105" customWidth="1"/>
  </cols>
  <sheetData>
    <row r="1" spans="1:6" ht="12.75">
      <c r="A1" s="102" t="s">
        <v>8</v>
      </c>
      <c r="B1" s="168" t="s">
        <v>87</v>
      </c>
      <c r="C1" s="103" t="s">
        <v>88</v>
      </c>
      <c r="D1" s="104" t="s">
        <v>89</v>
      </c>
      <c r="E1" s="10" t="s">
        <v>75</v>
      </c>
      <c r="F1" s="10" t="s">
        <v>76</v>
      </c>
    </row>
    <row r="2" spans="1:6" ht="12.75">
      <c r="A2" s="106" t="s">
        <v>21</v>
      </c>
      <c r="B2" s="169" t="s">
        <v>90</v>
      </c>
      <c r="C2" s="107" t="s">
        <v>91</v>
      </c>
      <c r="D2" s="108" t="s">
        <v>92</v>
      </c>
      <c r="E2" s="109">
        <v>40776</v>
      </c>
      <c r="F2" s="10">
        <v>39601</v>
      </c>
    </row>
    <row r="3" spans="1:6" ht="12.75">
      <c r="A3" s="106" t="s">
        <v>82</v>
      </c>
      <c r="B3" s="169" t="s">
        <v>93</v>
      </c>
      <c r="C3" s="107" t="s">
        <v>94</v>
      </c>
      <c r="D3" s="108" t="s">
        <v>95</v>
      </c>
      <c r="E3" s="10">
        <f>+E2+1</f>
        <v>40777</v>
      </c>
      <c r="F3" s="10">
        <v>39629</v>
      </c>
    </row>
    <row r="4" spans="1:6" ht="12.75">
      <c r="A4" s="106" t="s">
        <v>22</v>
      </c>
      <c r="B4" s="170">
        <v>38342</v>
      </c>
      <c r="C4" s="110">
        <v>38342</v>
      </c>
      <c r="D4" s="111">
        <v>38342</v>
      </c>
      <c r="E4" s="10">
        <f aca="true" t="shared" si="0" ref="E4:E30">+E3+1</f>
        <v>40778</v>
      </c>
      <c r="F4" s="10">
        <v>39649</v>
      </c>
    </row>
    <row r="5" spans="1:6" ht="12.75">
      <c r="A5" s="106" t="s">
        <v>23</v>
      </c>
      <c r="B5" s="170">
        <v>40168</v>
      </c>
      <c r="C5" s="110">
        <v>41994</v>
      </c>
      <c r="D5" s="111">
        <v>43820</v>
      </c>
      <c r="E5" s="10">
        <f t="shared" si="0"/>
        <v>40779</v>
      </c>
      <c r="F5" s="10">
        <v>39667</v>
      </c>
    </row>
    <row r="6" spans="1:6" ht="12.75">
      <c r="A6" s="106" t="s">
        <v>24</v>
      </c>
      <c r="B6" s="171">
        <v>0.0339</v>
      </c>
      <c r="C6" s="112">
        <v>0.0387</v>
      </c>
      <c r="D6" s="113">
        <v>0.0448</v>
      </c>
      <c r="E6" s="10">
        <f t="shared" si="0"/>
        <v>40780</v>
      </c>
      <c r="F6" s="10">
        <v>39678</v>
      </c>
    </row>
    <row r="7" spans="1:6" ht="13.5" thickBot="1">
      <c r="A7" s="114" t="s">
        <v>25</v>
      </c>
      <c r="B7" s="172" t="s">
        <v>79</v>
      </c>
      <c r="C7" s="115" t="s">
        <v>79</v>
      </c>
      <c r="D7" s="116" t="s">
        <v>79</v>
      </c>
      <c r="E7" s="10">
        <f t="shared" si="0"/>
        <v>40781</v>
      </c>
      <c r="F7" s="10">
        <v>39734</v>
      </c>
    </row>
    <row r="8" spans="5:6" ht="13.5" thickBot="1">
      <c r="E8" s="10">
        <f t="shared" si="0"/>
        <v>40782</v>
      </c>
      <c r="F8" s="10">
        <v>39755</v>
      </c>
    </row>
    <row r="9" spans="1:6" ht="13.5" thickBot="1">
      <c r="A9" s="269" t="s">
        <v>44</v>
      </c>
      <c r="B9" s="270"/>
      <c r="E9" s="10">
        <f t="shared" si="0"/>
        <v>40783</v>
      </c>
      <c r="F9" s="10">
        <v>39769</v>
      </c>
    </row>
    <row r="10" spans="1:6" ht="12.75">
      <c r="A10" s="33" t="s">
        <v>10</v>
      </c>
      <c r="B10" s="34">
        <f>+'CALCULADORA TIPS E-6'!E6</f>
        <v>40777</v>
      </c>
      <c r="E10" s="10">
        <f t="shared" si="0"/>
        <v>40784</v>
      </c>
      <c r="F10" s="10">
        <v>39790</v>
      </c>
    </row>
    <row r="11" spans="1:6" ht="12.75">
      <c r="A11" s="33" t="s">
        <v>11</v>
      </c>
      <c r="B11" s="34">
        <f>+VLOOKUP(B10,'Flujos Mensuales'!$A$2:$A$182,1)</f>
        <v>40776</v>
      </c>
      <c r="E11" s="10">
        <f t="shared" si="0"/>
        <v>40785</v>
      </c>
      <c r="F11" s="10">
        <v>39807</v>
      </c>
    </row>
    <row r="12" spans="1:6" ht="12.75">
      <c r="A12" s="33" t="s">
        <v>12</v>
      </c>
      <c r="B12" s="35" t="e">
        <f>+VLOOKUP(B11,'Flujos Mensuales'!$A$2:$D$182,4)</f>
        <v>#DIV/0!</v>
      </c>
      <c r="E12" s="10">
        <f t="shared" si="0"/>
        <v>40786</v>
      </c>
      <c r="F12" s="10">
        <v>39814</v>
      </c>
    </row>
    <row r="13" spans="1:6" ht="12.75">
      <c r="A13" s="33" t="s">
        <v>13</v>
      </c>
      <c r="B13" s="35" t="e">
        <f>+VLOOKUP(_XLL.FECHA.MES(B10,1),'Flujos Mensuales'!$A$2:$F$182,6)</f>
        <v>#DIV/0!</v>
      </c>
      <c r="E13" s="10">
        <f t="shared" si="0"/>
        <v>40787</v>
      </c>
      <c r="F13" s="10">
        <v>39825</v>
      </c>
    </row>
    <row r="14" spans="1:6" ht="12.75">
      <c r="A14" s="33" t="s">
        <v>9</v>
      </c>
      <c r="B14" s="36">
        <f>+DAYS360(B11,B10,TRUE)</f>
        <v>1</v>
      </c>
      <c r="E14" s="10">
        <f t="shared" si="0"/>
        <v>40788</v>
      </c>
      <c r="F14" s="10">
        <v>39895</v>
      </c>
    </row>
    <row r="15" spans="1:6" ht="12.75">
      <c r="A15" s="33" t="s">
        <v>14</v>
      </c>
      <c r="B15" s="36">
        <v>30</v>
      </c>
      <c r="E15" s="10">
        <f t="shared" si="0"/>
        <v>40789</v>
      </c>
      <c r="F15" s="10">
        <v>39912</v>
      </c>
    </row>
    <row r="16" spans="1:6" ht="12.75">
      <c r="A16" s="33" t="s">
        <v>15</v>
      </c>
      <c r="B16" s="38" t="e">
        <f>ROUND(B13/B12*B14/B15*100,4)</f>
        <v>#DIV/0!</v>
      </c>
      <c r="E16" s="10">
        <f t="shared" si="0"/>
        <v>40790</v>
      </c>
      <c r="F16" s="10">
        <v>39913</v>
      </c>
    </row>
    <row r="17" spans="1:6" ht="12.75">
      <c r="A17" s="33" t="s">
        <v>18</v>
      </c>
      <c r="B17" s="41" t="e">
        <f>+'CALCULADORA TIPS E-6'!F12</f>
        <v>#DIV/0!</v>
      </c>
      <c r="E17" s="10">
        <f t="shared" si="0"/>
        <v>40791</v>
      </c>
      <c r="F17" s="10">
        <v>39934</v>
      </c>
    </row>
    <row r="18" spans="1:6" ht="12.75">
      <c r="A18" s="33" t="s">
        <v>41</v>
      </c>
      <c r="B18" s="42">
        <f>+'CALCULADORA TIPS E-6'!F16</f>
        <v>10000000</v>
      </c>
      <c r="E18" s="10">
        <f t="shared" si="0"/>
        <v>40792</v>
      </c>
      <c r="F18" s="10">
        <v>39958</v>
      </c>
    </row>
    <row r="19" spans="1:6" ht="12.75">
      <c r="A19" s="33" t="s">
        <v>25</v>
      </c>
      <c r="B19" s="38">
        <f>+'CALCULADORA TIPS E-6'!C23</f>
        <v>197.1613</v>
      </c>
      <c r="E19" s="10">
        <f t="shared" si="0"/>
        <v>40793</v>
      </c>
      <c r="F19" s="10">
        <v>39979</v>
      </c>
    </row>
    <row r="20" spans="1:6" ht="12.75">
      <c r="A20" s="33" t="s">
        <v>42</v>
      </c>
      <c r="B20" s="42" t="e">
        <f>ROUND(B18*B19*(B17+B16)/100,0)</f>
        <v>#DIV/0!</v>
      </c>
      <c r="C20" s="117"/>
      <c r="E20" s="10">
        <f t="shared" si="0"/>
        <v>40794</v>
      </c>
      <c r="F20" s="10">
        <v>39986</v>
      </c>
    </row>
    <row r="21" spans="1:6" ht="12.75">
      <c r="A21" s="33" t="s">
        <v>43</v>
      </c>
      <c r="B21" s="37" t="e">
        <f>TRUNC(B20/B18,5)</f>
        <v>#DIV/0!</v>
      </c>
      <c r="C21" s="118"/>
      <c r="E21" s="10">
        <f t="shared" si="0"/>
        <v>40795</v>
      </c>
      <c r="F21" s="10">
        <v>39993</v>
      </c>
    </row>
    <row r="22" spans="1:6" ht="12.75">
      <c r="A22" s="33" t="s">
        <v>48</v>
      </c>
      <c r="B22" s="41" t="e">
        <f>TRUNC(B21/B19*100,3)</f>
        <v>#DIV/0!</v>
      </c>
      <c r="E22" s="10">
        <f t="shared" si="0"/>
        <v>40796</v>
      </c>
      <c r="F22" s="10">
        <v>40014</v>
      </c>
    </row>
    <row r="23" spans="1:6" ht="12.75">
      <c r="A23" s="33" t="s">
        <v>49</v>
      </c>
      <c r="B23" s="41" t="e">
        <f>TRUNC('Flujos Mensuales'!H183/VLOOKUP('CALCULADORA TIPS E-6'!E6,'Flujos Mensuales'!A2:D182,4)*100,3)</f>
        <v>#DIV/0!</v>
      </c>
      <c r="E23" s="10">
        <f t="shared" si="0"/>
        <v>40797</v>
      </c>
      <c r="F23" s="10">
        <v>40032</v>
      </c>
    </row>
    <row r="24" spans="1:6" ht="12.75">
      <c r="A24" s="33" t="s">
        <v>50</v>
      </c>
      <c r="B24" s="38" t="e">
        <f>+B22-B23</f>
        <v>#DIV/0!</v>
      </c>
      <c r="E24" s="10">
        <f t="shared" si="0"/>
        <v>40798</v>
      </c>
      <c r="F24" s="10">
        <v>40042</v>
      </c>
    </row>
    <row r="25" spans="1:6" ht="13.5" thickBot="1">
      <c r="A25" s="39" t="s">
        <v>51</v>
      </c>
      <c r="B25" s="40">
        <f>TRUNC('CALCULADORA TIPS E-6'!F11,5)</f>
        <v>0.0448</v>
      </c>
      <c r="E25" s="10">
        <f>+E24+1</f>
        <v>40799</v>
      </c>
      <c r="F25" s="10">
        <v>40098</v>
      </c>
    </row>
    <row r="26" spans="5:6" ht="13.5" thickBot="1">
      <c r="E26" s="10">
        <f t="shared" si="0"/>
        <v>40800</v>
      </c>
      <c r="F26" s="10">
        <v>40119</v>
      </c>
    </row>
    <row r="27" spans="1:6" ht="13.5" thickBot="1">
      <c r="A27" s="269" t="s">
        <v>62</v>
      </c>
      <c r="B27" s="270"/>
      <c r="E27" s="10">
        <f t="shared" si="0"/>
        <v>40801</v>
      </c>
      <c r="F27" s="10">
        <v>40133</v>
      </c>
    </row>
    <row r="28" spans="1:6" ht="12.75">
      <c r="A28" s="33" t="s">
        <v>52</v>
      </c>
      <c r="B28" s="119">
        <f>TRUNC('CALCULADORA TIPS E-6'!F11,5)</f>
        <v>0.0448</v>
      </c>
      <c r="E28" s="10">
        <f t="shared" si="0"/>
        <v>40802</v>
      </c>
      <c r="F28" s="10">
        <v>40155</v>
      </c>
    </row>
    <row r="29" spans="1:6" ht="12.75">
      <c r="A29" s="33" t="s">
        <v>49</v>
      </c>
      <c r="B29" s="41" t="e">
        <f>TRUNC('Flujos Mensuales'!H183/VLOOKUP('CALCULADORA TIPS E-6'!E6,'Flujos Mensuales'!A2:D182,4)*100,3)</f>
        <v>#DIV/0!</v>
      </c>
      <c r="E29" s="10">
        <f t="shared" si="0"/>
        <v>40803</v>
      </c>
      <c r="F29" s="10">
        <v>40172</v>
      </c>
    </row>
    <row r="30" spans="1:6" ht="12.75">
      <c r="A30" s="105" t="s">
        <v>25</v>
      </c>
      <c r="B30" s="38">
        <f>+'CALCULADORA TIPS E-6'!C23</f>
        <v>197.1613</v>
      </c>
      <c r="E30" s="10">
        <f t="shared" si="0"/>
        <v>40804</v>
      </c>
      <c r="F30" s="10">
        <v>40179</v>
      </c>
    </row>
    <row r="31" spans="1:6" ht="12.75">
      <c r="A31" s="33" t="s">
        <v>41</v>
      </c>
      <c r="B31" s="42">
        <f>+'CALCULADORA TIPS E-6'!F16</f>
        <v>10000000</v>
      </c>
      <c r="E31" s="10">
        <f>+E30+1</f>
        <v>40805</v>
      </c>
      <c r="F31" s="10">
        <v>40189</v>
      </c>
    </row>
    <row r="32" spans="1:6" ht="12.75">
      <c r="A32" s="33" t="s">
        <v>42</v>
      </c>
      <c r="B32" s="42" t="e">
        <f>+ROUND(B29/100*B31*B30,0)</f>
        <v>#DIV/0!</v>
      </c>
      <c r="E32" s="10">
        <f>+E31+1</f>
        <v>40806</v>
      </c>
      <c r="F32" s="10">
        <v>40259</v>
      </c>
    </row>
    <row r="33" spans="1:6" ht="12.75">
      <c r="A33" s="33" t="s">
        <v>12</v>
      </c>
      <c r="B33" s="35" t="e">
        <f>+VLOOKUP(B11,'Flujos Mensuales'!$A$2:$D$182,4)</f>
        <v>#DIV/0!</v>
      </c>
      <c r="E33" s="10"/>
      <c r="F33" s="10">
        <v>40269</v>
      </c>
    </row>
    <row r="34" spans="1:6" ht="12.75">
      <c r="A34" s="33" t="s">
        <v>13</v>
      </c>
      <c r="B34" s="35" t="e">
        <f>+VLOOKUP(_XLL.FECHA.MES(B10,1),'Flujos Mensuales'!$A$2:$F$182,6)</f>
        <v>#DIV/0!</v>
      </c>
      <c r="D34" s="120"/>
      <c r="E34" s="10"/>
      <c r="F34" s="10">
        <v>40270</v>
      </c>
    </row>
    <row r="35" spans="1:6" ht="12.75">
      <c r="A35" s="33" t="s">
        <v>9</v>
      </c>
      <c r="B35" s="36">
        <f>+DAYS360(B11,B10,TRUE)</f>
        <v>1</v>
      </c>
      <c r="D35" s="121"/>
      <c r="E35" s="10"/>
      <c r="F35" s="10">
        <v>40299</v>
      </c>
    </row>
    <row r="36" spans="1:6" ht="12.75">
      <c r="A36" s="33" t="s">
        <v>14</v>
      </c>
      <c r="B36" s="36">
        <v>30</v>
      </c>
      <c r="E36" s="10"/>
      <c r="F36" s="10">
        <v>40315</v>
      </c>
    </row>
    <row r="37" spans="1:6" ht="12.75">
      <c r="A37" s="33" t="s">
        <v>43</v>
      </c>
      <c r="B37" s="37" t="e">
        <f>TRUNC(B32/(B30*B31),5)</f>
        <v>#DIV/0!</v>
      </c>
      <c r="C37" s="122"/>
      <c r="E37" s="10"/>
      <c r="F37" s="10">
        <v>40336</v>
      </c>
    </row>
    <row r="38" spans="1:6" ht="12.75">
      <c r="A38" s="33" t="s">
        <v>15</v>
      </c>
      <c r="B38" s="38" t="e">
        <f>ROUND(B34/B33*B35/B36,6)*100</f>
        <v>#DIV/0!</v>
      </c>
      <c r="E38" s="10"/>
      <c r="F38" s="10">
        <v>40343</v>
      </c>
    </row>
    <row r="39" spans="1:6" ht="13.5" thickBot="1">
      <c r="A39" s="39" t="s">
        <v>18</v>
      </c>
      <c r="B39" s="123" t="e">
        <f>ROUND((B37-(B38/100))*100,3)</f>
        <v>#DIV/0!</v>
      </c>
      <c r="E39" s="10"/>
      <c r="F39" s="10">
        <v>40364</v>
      </c>
    </row>
    <row r="40" spans="2:6" ht="12.75">
      <c r="B40" s="124"/>
      <c r="E40" s="10"/>
      <c r="F40" s="10">
        <v>40379</v>
      </c>
    </row>
    <row r="41" spans="2:6" ht="12.75">
      <c r="B41" s="122"/>
      <c r="E41" s="10"/>
      <c r="F41" s="10">
        <v>40397</v>
      </c>
    </row>
    <row r="42" spans="2:6" ht="12.75">
      <c r="B42" s="125"/>
      <c r="E42" s="10"/>
      <c r="F42" s="10">
        <v>40406</v>
      </c>
    </row>
    <row r="43" spans="5:6" ht="12.75">
      <c r="E43" s="10"/>
      <c r="F43" s="10">
        <v>40469</v>
      </c>
    </row>
    <row r="44" spans="5:6" ht="12.75">
      <c r="E44" s="10"/>
      <c r="F44" s="10">
        <v>40483</v>
      </c>
    </row>
    <row r="45" spans="5:6" ht="12.75">
      <c r="E45" s="10"/>
      <c r="F45" s="10">
        <v>40497</v>
      </c>
    </row>
    <row r="46" spans="5:6" ht="12.75">
      <c r="E46" s="10"/>
      <c r="F46" s="10">
        <v>40520</v>
      </c>
    </row>
    <row r="47" spans="5:6" ht="12.75">
      <c r="E47" s="10"/>
      <c r="F47" s="10">
        <v>40537</v>
      </c>
    </row>
    <row r="48" spans="5:6" ht="12.75">
      <c r="E48" s="10"/>
      <c r="F48" s="10">
        <v>40544</v>
      </c>
    </row>
    <row r="49" spans="5:6" ht="12.75">
      <c r="E49" s="10"/>
      <c r="F49" s="10">
        <v>40553</v>
      </c>
    </row>
    <row r="50" spans="5:6" ht="12.75">
      <c r="E50" s="10"/>
      <c r="F50" s="10">
        <v>40623</v>
      </c>
    </row>
    <row r="51" spans="5:6" ht="12.75">
      <c r="E51" s="10"/>
      <c r="F51" s="10">
        <v>40654</v>
      </c>
    </row>
    <row r="52" spans="5:6" ht="12.75">
      <c r="E52" s="10"/>
      <c r="F52" s="10">
        <v>40655</v>
      </c>
    </row>
    <row r="53" spans="5:6" ht="12.75">
      <c r="E53" s="10"/>
      <c r="F53" s="10">
        <v>40664</v>
      </c>
    </row>
    <row r="54" spans="5:6" ht="12.75">
      <c r="E54" s="10"/>
      <c r="F54" s="10">
        <v>40700</v>
      </c>
    </row>
    <row r="55" spans="5:6" ht="12.75">
      <c r="E55" s="10"/>
      <c r="F55" s="10">
        <v>40721</v>
      </c>
    </row>
    <row r="56" spans="5:6" ht="12.75">
      <c r="E56" s="10"/>
      <c r="F56" s="10">
        <v>40728</v>
      </c>
    </row>
    <row r="57" spans="5:6" ht="12.75">
      <c r="E57" s="10"/>
      <c r="F57" s="10">
        <v>40744</v>
      </c>
    </row>
    <row r="58" spans="5:6" ht="12.75">
      <c r="E58" s="10"/>
      <c r="F58" s="10">
        <v>40762</v>
      </c>
    </row>
    <row r="59" spans="5:6" ht="12.75">
      <c r="E59" s="10"/>
      <c r="F59" s="10">
        <v>40770</v>
      </c>
    </row>
    <row r="60" spans="5:6" ht="12.75">
      <c r="E60" s="10"/>
      <c r="F60" s="10">
        <v>40833</v>
      </c>
    </row>
    <row r="61" spans="5:6" ht="12.75">
      <c r="E61" s="10"/>
      <c r="F61" s="10">
        <v>40854</v>
      </c>
    </row>
    <row r="62" spans="5:6" ht="12.75">
      <c r="E62" s="10"/>
      <c r="F62" s="10">
        <v>40861</v>
      </c>
    </row>
    <row r="63" spans="5:6" ht="12.75">
      <c r="E63" s="10"/>
      <c r="F63" s="10">
        <v>40885</v>
      </c>
    </row>
    <row r="64" spans="5:6" ht="12.75">
      <c r="E64" s="10"/>
      <c r="F64" s="10">
        <v>40902</v>
      </c>
    </row>
    <row r="65" spans="5:6" ht="12.75">
      <c r="E65" s="10"/>
      <c r="F65" s="10">
        <v>40909</v>
      </c>
    </row>
    <row r="66" spans="5:6" ht="12.75">
      <c r="E66" s="10"/>
      <c r="F66" s="10">
        <v>40917</v>
      </c>
    </row>
    <row r="67" spans="5:6" ht="12.75">
      <c r="E67" s="10"/>
      <c r="F67" s="10">
        <v>40987</v>
      </c>
    </row>
    <row r="68" spans="5:6" ht="12.75">
      <c r="E68" s="10"/>
      <c r="F68" s="10">
        <v>41004</v>
      </c>
    </row>
    <row r="69" spans="5:6" ht="12.75">
      <c r="E69" s="10"/>
      <c r="F69" s="10">
        <v>41005</v>
      </c>
    </row>
    <row r="70" spans="5:6" ht="12.75">
      <c r="E70" s="10"/>
      <c r="F70" s="10">
        <v>41030</v>
      </c>
    </row>
    <row r="71" spans="5:6" ht="12.75">
      <c r="E71" s="10"/>
      <c r="F71" s="10">
        <v>41050</v>
      </c>
    </row>
    <row r="72" spans="5:6" ht="12.75">
      <c r="E72" s="10"/>
      <c r="F72" s="10">
        <v>41071</v>
      </c>
    </row>
    <row r="73" spans="5:6" ht="12.75">
      <c r="E73" s="10"/>
      <c r="F73" s="10">
        <v>41078</v>
      </c>
    </row>
    <row r="74" spans="5:6" ht="12.75">
      <c r="E74" s="10"/>
      <c r="F74" s="10">
        <v>41092</v>
      </c>
    </row>
    <row r="75" spans="5:6" ht="12.75">
      <c r="E75" s="10"/>
      <c r="F75" s="10">
        <v>41110</v>
      </c>
    </row>
    <row r="76" spans="5:6" ht="12.75">
      <c r="E76" s="10"/>
      <c r="F76" s="10">
        <v>41128</v>
      </c>
    </row>
    <row r="77" spans="5:6" ht="12.75">
      <c r="E77" s="10"/>
      <c r="F77" s="10">
        <v>41141</v>
      </c>
    </row>
    <row r="78" spans="5:6" ht="12.75">
      <c r="E78" s="10"/>
      <c r="F78" s="10">
        <v>41197</v>
      </c>
    </row>
    <row r="79" spans="5:6" ht="12.75">
      <c r="E79" s="10"/>
      <c r="F79" s="10">
        <v>41218</v>
      </c>
    </row>
    <row r="80" spans="5:6" ht="12.75">
      <c r="E80" s="10"/>
      <c r="F80" s="10">
        <v>41225</v>
      </c>
    </row>
    <row r="81" spans="5:6" ht="12.75">
      <c r="E81" s="10"/>
      <c r="F81" s="10">
        <v>41251</v>
      </c>
    </row>
    <row r="82" spans="5:6" ht="12.75">
      <c r="E82" s="10"/>
      <c r="F82" s="10">
        <v>41268</v>
      </c>
    </row>
    <row r="83" spans="5:6" ht="12.75">
      <c r="E83" s="10"/>
      <c r="F83" s="10">
        <v>41275</v>
      </c>
    </row>
    <row r="84" spans="5:6" ht="12.75">
      <c r="E84" s="10"/>
      <c r="F84" s="10">
        <v>41281</v>
      </c>
    </row>
    <row r="85" spans="5:6" ht="12.75">
      <c r="E85" s="10"/>
      <c r="F85" s="10">
        <v>41358</v>
      </c>
    </row>
    <row r="86" spans="5:6" ht="12.75">
      <c r="E86" s="10"/>
      <c r="F86" s="10">
        <v>41361</v>
      </c>
    </row>
    <row r="87" spans="5:6" ht="12.75">
      <c r="E87" s="10"/>
      <c r="F87" s="10">
        <v>41362</v>
      </c>
    </row>
    <row r="88" spans="5:6" ht="12.75">
      <c r="E88" s="10"/>
      <c r="F88" s="10">
        <v>41395</v>
      </c>
    </row>
    <row r="89" spans="5:6" ht="12.75">
      <c r="E89" s="10"/>
      <c r="F89" s="10">
        <v>41407</v>
      </c>
    </row>
    <row r="90" spans="5:6" ht="12.75">
      <c r="E90" s="10"/>
      <c r="F90" s="10">
        <v>41428</v>
      </c>
    </row>
    <row r="91" spans="5:6" ht="12.75">
      <c r="E91" s="10"/>
      <c r="F91" s="10">
        <v>41435</v>
      </c>
    </row>
    <row r="92" spans="5:6" ht="12.75">
      <c r="E92" s="10"/>
      <c r="F92" s="10">
        <v>41456</v>
      </c>
    </row>
    <row r="93" spans="5:6" ht="12.75">
      <c r="E93" s="10"/>
      <c r="F93" s="10">
        <v>41475</v>
      </c>
    </row>
    <row r="94" spans="5:6" ht="12.75">
      <c r="E94" s="10"/>
      <c r="F94" s="10">
        <v>41493</v>
      </c>
    </row>
    <row r="95" spans="5:6" ht="12.75">
      <c r="E95" s="10"/>
      <c r="F95" s="10">
        <v>41505</v>
      </c>
    </row>
    <row r="96" spans="5:6" ht="12.75">
      <c r="E96" s="10"/>
      <c r="F96" s="10">
        <v>41561</v>
      </c>
    </row>
    <row r="97" spans="5:6" ht="12.75">
      <c r="E97" s="10"/>
      <c r="F97" s="10">
        <v>41582</v>
      </c>
    </row>
    <row r="98" spans="5:6" ht="12.75">
      <c r="E98" s="10"/>
      <c r="F98" s="10">
        <v>41589</v>
      </c>
    </row>
    <row r="99" spans="5:6" ht="12.75">
      <c r="E99" s="10"/>
      <c r="F99" s="10">
        <v>41616</v>
      </c>
    </row>
    <row r="100" spans="5:6" ht="12.75">
      <c r="E100" s="10"/>
      <c r="F100" s="10">
        <v>41633</v>
      </c>
    </row>
    <row r="101" spans="5:6" ht="12.75">
      <c r="E101" s="10"/>
      <c r="F101" s="10">
        <v>41640</v>
      </c>
    </row>
    <row r="102" spans="5:6" ht="12.75">
      <c r="E102" s="10"/>
      <c r="F102" s="10">
        <v>41645</v>
      </c>
    </row>
    <row r="103" spans="5:6" ht="12.75">
      <c r="E103" s="10"/>
      <c r="F103" s="10">
        <v>41722</v>
      </c>
    </row>
    <row r="104" spans="5:6" ht="12.75">
      <c r="E104" s="10"/>
      <c r="F104" s="10">
        <v>41746</v>
      </c>
    </row>
    <row r="105" spans="5:6" ht="12.75">
      <c r="E105" s="10"/>
      <c r="F105" s="10">
        <v>41747</v>
      </c>
    </row>
    <row r="106" spans="5:6" ht="12.75">
      <c r="E106" s="10"/>
      <c r="F106" s="10">
        <v>41760</v>
      </c>
    </row>
    <row r="107" spans="5:6" ht="12.75">
      <c r="E107" s="10"/>
      <c r="F107" s="10">
        <v>41792</v>
      </c>
    </row>
    <row r="108" spans="5:6" ht="12.75">
      <c r="E108" s="10"/>
      <c r="F108" s="10">
        <v>41813</v>
      </c>
    </row>
    <row r="109" spans="5:6" ht="12.75">
      <c r="E109" s="10"/>
      <c r="F109" s="10">
        <v>41820</v>
      </c>
    </row>
    <row r="110" spans="5:6" ht="12.75">
      <c r="E110" s="10"/>
      <c r="F110" s="10">
        <v>41840</v>
      </c>
    </row>
    <row r="111" spans="5:6" ht="12.75">
      <c r="E111" s="10"/>
      <c r="F111" s="10">
        <v>41858</v>
      </c>
    </row>
    <row r="112" spans="5:6" ht="12.75">
      <c r="E112" s="10"/>
      <c r="F112" s="10">
        <v>41869</v>
      </c>
    </row>
    <row r="113" spans="5:6" ht="12.75">
      <c r="E113" s="10"/>
      <c r="F113" s="10">
        <v>41925</v>
      </c>
    </row>
    <row r="114" spans="5:6" ht="12.75">
      <c r="E114" s="10"/>
      <c r="F114" s="10">
        <v>41946</v>
      </c>
    </row>
    <row r="115" spans="5:6" ht="12.75">
      <c r="E115" s="10"/>
      <c r="F115" s="10">
        <v>41960</v>
      </c>
    </row>
    <row r="116" spans="5:6" ht="12.75">
      <c r="E116" s="10"/>
      <c r="F116" s="10">
        <v>41981</v>
      </c>
    </row>
    <row r="117" spans="5:6" ht="12.75">
      <c r="E117" s="10"/>
      <c r="F117" s="10">
        <v>41998</v>
      </c>
    </row>
    <row r="118" spans="5:6" ht="12.75">
      <c r="E118" s="10"/>
      <c r="F118" s="10">
        <v>42005</v>
      </c>
    </row>
    <row r="119" spans="5:6" ht="12.75">
      <c r="E119" s="10"/>
      <c r="F119" s="10">
        <v>42016</v>
      </c>
    </row>
    <row r="120" spans="5:6" ht="12.75">
      <c r="E120" s="10"/>
      <c r="F120" s="10">
        <v>42086</v>
      </c>
    </row>
    <row r="121" spans="5:6" ht="12.75">
      <c r="E121" s="10"/>
      <c r="F121" s="10">
        <v>42096</v>
      </c>
    </row>
    <row r="122" spans="5:6" ht="12.75">
      <c r="E122" s="10"/>
      <c r="F122" s="10">
        <v>42097</v>
      </c>
    </row>
    <row r="123" spans="5:6" ht="12.75">
      <c r="E123" s="10"/>
      <c r="F123" s="10">
        <v>42125</v>
      </c>
    </row>
    <row r="124" spans="5:6" ht="12.75">
      <c r="E124" s="10"/>
      <c r="F124" s="10">
        <v>42142</v>
      </c>
    </row>
    <row r="125" spans="5:6" ht="12.75">
      <c r="E125" s="10"/>
      <c r="F125" s="10">
        <v>42163</v>
      </c>
    </row>
    <row r="126" spans="5:6" ht="12.75">
      <c r="E126" s="10"/>
      <c r="F126" s="10">
        <v>42170</v>
      </c>
    </row>
    <row r="127" spans="5:6" ht="12.75">
      <c r="E127" s="10"/>
      <c r="F127" s="10">
        <v>42184</v>
      </c>
    </row>
    <row r="128" spans="5:6" ht="12.75">
      <c r="E128" s="10"/>
      <c r="F128" s="10">
        <v>42205</v>
      </c>
    </row>
    <row r="129" spans="5:6" ht="12.75">
      <c r="E129" s="10"/>
      <c r="F129" s="10">
        <v>42223</v>
      </c>
    </row>
    <row r="130" spans="5:6" ht="12.75">
      <c r="E130" s="10"/>
      <c r="F130" s="10">
        <v>42233</v>
      </c>
    </row>
    <row r="131" spans="5:6" ht="12.75">
      <c r="E131" s="10"/>
      <c r="F131" s="10">
        <v>42289</v>
      </c>
    </row>
    <row r="132" spans="5:6" ht="12.75">
      <c r="E132" s="10"/>
      <c r="F132" s="10">
        <v>42310</v>
      </c>
    </row>
    <row r="133" spans="5:6" ht="12.75">
      <c r="E133" s="10"/>
      <c r="F133" s="10">
        <v>42324</v>
      </c>
    </row>
    <row r="134" spans="5:6" ht="12.75">
      <c r="E134" s="10"/>
      <c r="F134" s="10">
        <v>42346</v>
      </c>
    </row>
    <row r="135" spans="5:6" ht="12.75">
      <c r="E135" s="10"/>
      <c r="F135" s="10">
        <v>42363</v>
      </c>
    </row>
    <row r="136" spans="5:6" ht="12.75">
      <c r="E136" s="10"/>
      <c r="F136" s="10">
        <v>42370</v>
      </c>
    </row>
    <row r="137" spans="5:6" ht="12.75">
      <c r="E137" s="10"/>
      <c r="F137" s="10">
        <v>42380</v>
      </c>
    </row>
    <row r="138" spans="5:6" ht="12.75">
      <c r="E138" s="10"/>
      <c r="F138" s="10">
        <v>42450</v>
      </c>
    </row>
    <row r="139" spans="5:6" ht="12.75">
      <c r="E139" s="10"/>
      <c r="F139" s="10">
        <v>42453</v>
      </c>
    </row>
    <row r="140" spans="5:6" ht="12.75">
      <c r="E140" s="10"/>
      <c r="F140" s="10">
        <v>42454</v>
      </c>
    </row>
    <row r="141" spans="5:6" ht="12.75">
      <c r="E141" s="10"/>
      <c r="F141" s="10">
        <v>42491</v>
      </c>
    </row>
    <row r="142" spans="5:6" ht="12.75">
      <c r="E142" s="10"/>
      <c r="F142" s="10">
        <v>42499</v>
      </c>
    </row>
    <row r="143" spans="5:6" ht="12.75">
      <c r="E143" s="10"/>
      <c r="F143" s="10">
        <v>42520</v>
      </c>
    </row>
    <row r="144" spans="5:6" ht="12.75">
      <c r="E144" s="10"/>
      <c r="F144" s="10">
        <v>42527</v>
      </c>
    </row>
    <row r="145" spans="5:6" ht="12.75">
      <c r="E145" s="10"/>
      <c r="F145" s="10">
        <v>42555</v>
      </c>
    </row>
    <row r="146" spans="5:6" ht="12.75">
      <c r="E146" s="10"/>
      <c r="F146" s="10">
        <v>42571</v>
      </c>
    </row>
    <row r="147" spans="5:6" ht="12.75">
      <c r="E147" s="10"/>
      <c r="F147" s="10">
        <v>42589</v>
      </c>
    </row>
    <row r="148" spans="5:6" ht="12.75">
      <c r="E148" s="10"/>
      <c r="F148" s="10">
        <v>42597</v>
      </c>
    </row>
    <row r="149" spans="5:6" ht="12.75">
      <c r="E149" s="10"/>
      <c r="F149" s="10">
        <v>42660</v>
      </c>
    </row>
    <row r="150" spans="5:6" ht="12.75">
      <c r="E150" s="10"/>
      <c r="F150" s="10">
        <v>42681</v>
      </c>
    </row>
    <row r="151" spans="5:6" ht="12.75">
      <c r="E151" s="10"/>
      <c r="F151" s="10">
        <v>42688</v>
      </c>
    </row>
    <row r="152" spans="5:6" ht="12.75">
      <c r="E152" s="10"/>
      <c r="F152" s="10">
        <v>42712</v>
      </c>
    </row>
    <row r="153" spans="5:6" ht="12.75">
      <c r="E153" s="10"/>
      <c r="F153" s="10">
        <v>42729</v>
      </c>
    </row>
    <row r="154" spans="5:6" ht="12.75">
      <c r="E154" s="10"/>
      <c r="F154" s="10">
        <v>42736</v>
      </c>
    </row>
    <row r="155" spans="5:6" ht="12.75">
      <c r="E155" s="10"/>
      <c r="F155" s="10">
        <v>42744</v>
      </c>
    </row>
    <row r="156" spans="5:6" ht="12.75">
      <c r="E156" s="10"/>
      <c r="F156" s="10">
        <v>42814</v>
      </c>
    </row>
    <row r="157" spans="5:6" ht="12.75">
      <c r="E157" s="10"/>
      <c r="F157" s="10">
        <v>42838</v>
      </c>
    </row>
    <row r="158" spans="5:6" ht="12.75">
      <c r="E158" s="10"/>
      <c r="F158" s="10">
        <v>42839</v>
      </c>
    </row>
    <row r="159" spans="5:6" ht="12.75">
      <c r="E159" s="10"/>
      <c r="F159" s="10">
        <v>42856</v>
      </c>
    </row>
    <row r="160" spans="5:6" ht="12.75">
      <c r="E160" s="10"/>
      <c r="F160" s="10">
        <v>42884</v>
      </c>
    </row>
    <row r="161" spans="5:6" ht="12.75">
      <c r="E161" s="10"/>
      <c r="F161" s="10">
        <v>42905</v>
      </c>
    </row>
    <row r="162" spans="5:6" ht="12.75">
      <c r="E162" s="10"/>
      <c r="F162" s="10">
        <v>42912</v>
      </c>
    </row>
    <row r="163" spans="5:6" ht="12.75">
      <c r="E163" s="10"/>
      <c r="F163" s="10">
        <v>42919</v>
      </c>
    </row>
    <row r="164" spans="5:6" ht="12.75">
      <c r="E164" s="10"/>
      <c r="F164" s="10">
        <v>42936</v>
      </c>
    </row>
    <row r="165" spans="5:6" ht="12.75">
      <c r="E165" s="10"/>
      <c r="F165" s="10">
        <v>42954</v>
      </c>
    </row>
    <row r="166" spans="5:6" ht="12.75">
      <c r="E166" s="10"/>
      <c r="F166" s="10">
        <v>42968</v>
      </c>
    </row>
    <row r="167" spans="5:6" ht="12.75">
      <c r="E167" s="10"/>
      <c r="F167" s="10">
        <v>43045</v>
      </c>
    </row>
    <row r="168" spans="5:6" ht="12.75">
      <c r="E168" s="10"/>
      <c r="F168" s="10">
        <v>43052</v>
      </c>
    </row>
    <row r="169" spans="5:6" ht="12.75">
      <c r="E169" s="10"/>
      <c r="F169" s="10">
        <v>43077</v>
      </c>
    </row>
    <row r="170" spans="5:6" ht="12.75">
      <c r="E170" s="10"/>
      <c r="F170" s="10">
        <v>43094</v>
      </c>
    </row>
    <row r="171" spans="5:6" ht="12.75">
      <c r="E171" s="10"/>
      <c r="F171" s="10">
        <v>43101</v>
      </c>
    </row>
    <row r="172" spans="5:6" ht="12.75">
      <c r="E172" s="10"/>
      <c r="F172" s="10">
        <v>43108</v>
      </c>
    </row>
    <row r="173" spans="5:6" ht="12.75">
      <c r="E173" s="10"/>
      <c r="F173" s="10">
        <v>43178</v>
      </c>
    </row>
    <row r="174" spans="5:6" ht="12.75">
      <c r="E174" s="10"/>
      <c r="F174" s="10">
        <v>43189</v>
      </c>
    </row>
    <row r="175" spans="5:6" ht="12.75">
      <c r="E175" s="10"/>
      <c r="F175" s="10">
        <v>43221</v>
      </c>
    </row>
    <row r="176" spans="5:6" ht="12.75">
      <c r="E176" s="10"/>
      <c r="F176" s="10">
        <v>43234</v>
      </c>
    </row>
    <row r="177" spans="5:6" ht="12.75">
      <c r="E177" s="10"/>
      <c r="F177" s="10">
        <v>43255</v>
      </c>
    </row>
    <row r="178" spans="5:6" ht="12.75">
      <c r="E178" s="10"/>
      <c r="F178" s="10">
        <v>43262</v>
      </c>
    </row>
    <row r="179" spans="5:6" ht="12.75">
      <c r="E179" s="10"/>
      <c r="F179" s="10">
        <v>43283</v>
      </c>
    </row>
    <row r="180" spans="5:6" ht="12.75">
      <c r="E180" s="10"/>
      <c r="F180" s="10">
        <v>43301</v>
      </c>
    </row>
    <row r="181" spans="5:6" ht="12.75">
      <c r="E181" s="10"/>
      <c r="F181" s="10">
        <v>43319</v>
      </c>
    </row>
    <row r="182" spans="5:6" ht="12.75">
      <c r="E182" s="10"/>
      <c r="F182" s="10">
        <v>43332</v>
      </c>
    </row>
    <row r="183" spans="5:6" ht="12.75">
      <c r="E183" s="10"/>
      <c r="F183" s="10">
        <v>43388</v>
      </c>
    </row>
    <row r="184" spans="5:6" ht="12.75">
      <c r="E184" s="10"/>
      <c r="F184" s="10">
        <v>43409</v>
      </c>
    </row>
    <row r="185" spans="5:6" ht="12.75">
      <c r="E185" s="10"/>
      <c r="F185" s="10">
        <v>43416</v>
      </c>
    </row>
    <row r="186" spans="5:6" ht="12.75">
      <c r="E186" s="10"/>
      <c r="F186" s="10">
        <v>43442</v>
      </c>
    </row>
    <row r="187" spans="5:6" ht="12.75">
      <c r="E187" s="10"/>
      <c r="F187" s="10">
        <v>43459</v>
      </c>
    </row>
    <row r="188" spans="5:6" ht="12.75">
      <c r="E188" s="10"/>
      <c r="F188" s="10">
        <v>43466</v>
      </c>
    </row>
    <row r="189" spans="5:6" ht="12.75">
      <c r="E189" s="10"/>
      <c r="F189" s="10">
        <v>43472</v>
      </c>
    </row>
    <row r="190" spans="5:6" ht="12.75">
      <c r="E190" s="10"/>
      <c r="F190" s="10">
        <v>43549</v>
      </c>
    </row>
    <row r="191" spans="5:6" ht="12.75">
      <c r="E191" s="10"/>
      <c r="F191" s="10">
        <v>43573</v>
      </c>
    </row>
    <row r="192" spans="5:6" ht="12.75">
      <c r="E192" s="10"/>
      <c r="F192" s="10">
        <v>43574</v>
      </c>
    </row>
    <row r="193" spans="5:6" ht="12.75">
      <c r="E193" s="10"/>
      <c r="F193" s="10">
        <v>43586</v>
      </c>
    </row>
    <row r="194" spans="5:6" ht="12.75">
      <c r="E194" s="10"/>
      <c r="F194" s="10">
        <v>43619</v>
      </c>
    </row>
    <row r="195" spans="5:6" ht="12.75">
      <c r="E195" s="10"/>
      <c r="F195" s="10">
        <v>43640</v>
      </c>
    </row>
    <row r="196" spans="5:6" ht="12.75">
      <c r="E196" s="10"/>
      <c r="F196" s="10">
        <v>43647</v>
      </c>
    </row>
    <row r="197" spans="5:6" ht="12.75">
      <c r="E197" s="10"/>
      <c r="F197" s="10">
        <v>43666</v>
      </c>
    </row>
    <row r="198" spans="5:6" ht="12.75">
      <c r="E198" s="10"/>
      <c r="F198" s="10">
        <v>43684</v>
      </c>
    </row>
    <row r="199" spans="5:6" ht="12.75">
      <c r="E199" s="10"/>
      <c r="F199" s="10">
        <v>43696</v>
      </c>
    </row>
    <row r="200" spans="5:6" ht="12.75">
      <c r="E200" s="10"/>
      <c r="F200" s="10">
        <v>43752</v>
      </c>
    </row>
    <row r="201" spans="5:6" ht="12.75">
      <c r="E201" s="10"/>
      <c r="F201" s="10">
        <v>43773</v>
      </c>
    </row>
    <row r="202" spans="5:6" ht="12.75">
      <c r="E202" s="10"/>
      <c r="F202" s="10">
        <v>43780</v>
      </c>
    </row>
    <row r="203" spans="5:6" ht="12.75">
      <c r="E203" s="10"/>
      <c r="F203" s="10">
        <v>43807</v>
      </c>
    </row>
    <row r="204" spans="5:6" ht="12.75">
      <c r="E204" s="10"/>
      <c r="F204" s="10">
        <v>43824</v>
      </c>
    </row>
    <row r="205" spans="5:6" ht="12.75">
      <c r="E205" s="10"/>
      <c r="F205" s="10">
        <v>43831</v>
      </c>
    </row>
    <row r="206" spans="5:6" ht="12.75">
      <c r="E206" s="10"/>
      <c r="F206" s="10">
        <v>43836</v>
      </c>
    </row>
    <row r="207" spans="5:6" ht="12.75">
      <c r="E207" s="10"/>
      <c r="F207" s="10">
        <v>43913</v>
      </c>
    </row>
    <row r="208" spans="5:6" ht="12.75">
      <c r="E208" s="10"/>
      <c r="F208" s="10">
        <v>43930</v>
      </c>
    </row>
    <row r="209" spans="5:6" ht="12.75">
      <c r="E209" s="10"/>
      <c r="F209" s="10">
        <v>43931</v>
      </c>
    </row>
    <row r="210" spans="5:6" ht="12.75">
      <c r="E210" s="10"/>
      <c r="F210" s="10">
        <v>43952</v>
      </c>
    </row>
    <row r="211" spans="5:6" ht="12.75">
      <c r="E211" s="10"/>
      <c r="F211" s="10">
        <v>43976</v>
      </c>
    </row>
    <row r="212" spans="5:6" ht="12.75">
      <c r="E212" s="10"/>
      <c r="F212" s="10">
        <v>43997</v>
      </c>
    </row>
    <row r="213" spans="5:6" ht="12.75">
      <c r="E213" s="10"/>
      <c r="F213" s="10">
        <v>44004</v>
      </c>
    </row>
    <row r="214" spans="5:6" ht="12.75">
      <c r="E214" s="10"/>
      <c r="F214" s="10">
        <v>44011</v>
      </c>
    </row>
    <row r="215" spans="5:6" ht="12.75">
      <c r="E215" s="10"/>
      <c r="F215" s="10">
        <v>44032</v>
      </c>
    </row>
    <row r="216" spans="5:6" ht="12.75">
      <c r="E216" s="10"/>
      <c r="F216" s="10">
        <v>44050</v>
      </c>
    </row>
    <row r="217" spans="5:6" ht="12.75">
      <c r="E217" s="10"/>
      <c r="F217" s="10">
        <v>44060</v>
      </c>
    </row>
    <row r="218" spans="5:6" ht="12.75">
      <c r="E218" s="10"/>
      <c r="F218" s="10">
        <v>44116</v>
      </c>
    </row>
    <row r="219" spans="5:6" ht="12.75">
      <c r="E219" s="10"/>
      <c r="F219" s="10">
        <v>44137</v>
      </c>
    </row>
    <row r="220" spans="5:6" ht="12.75">
      <c r="E220" s="10"/>
      <c r="F220" s="10">
        <v>44151</v>
      </c>
    </row>
    <row r="221" spans="5:6" ht="12.75">
      <c r="E221" s="10"/>
      <c r="F221" s="10">
        <v>44173</v>
      </c>
    </row>
    <row r="222" spans="5:6" ht="12.75">
      <c r="E222" s="10"/>
      <c r="F222" s="10">
        <v>44190</v>
      </c>
    </row>
    <row r="223" spans="5:6" ht="12.75">
      <c r="E223" s="10"/>
      <c r="F223" s="10">
        <v>44197</v>
      </c>
    </row>
    <row r="224" spans="5:6" ht="12.75">
      <c r="E224" s="10"/>
      <c r="F224" s="10">
        <v>44207</v>
      </c>
    </row>
    <row r="225" spans="5:6" ht="12.75">
      <c r="E225" s="10"/>
      <c r="F225" s="10">
        <v>44277</v>
      </c>
    </row>
    <row r="226" spans="5:6" ht="12.75">
      <c r="E226" s="10"/>
      <c r="F226" s="10">
        <v>44287</v>
      </c>
    </row>
    <row r="227" spans="5:6" ht="12.75">
      <c r="E227" s="10"/>
      <c r="F227" s="10">
        <v>44288</v>
      </c>
    </row>
    <row r="228" spans="5:6" ht="12.75">
      <c r="E228" s="10"/>
      <c r="F228" s="10">
        <v>44317</v>
      </c>
    </row>
    <row r="229" spans="5:6" ht="12.75">
      <c r="E229" s="10"/>
      <c r="F229" s="10">
        <v>44333</v>
      </c>
    </row>
    <row r="230" spans="5:6" ht="12.75">
      <c r="E230" s="10"/>
      <c r="F230" s="10">
        <v>44354</v>
      </c>
    </row>
    <row r="231" spans="5:6" ht="12.75">
      <c r="E231" s="10"/>
      <c r="F231" s="10">
        <v>44361</v>
      </c>
    </row>
    <row r="232" spans="5:6" ht="12.75">
      <c r="E232" s="10"/>
      <c r="F232" s="10">
        <v>44382</v>
      </c>
    </row>
    <row r="233" spans="5:6" ht="12.75">
      <c r="E233" s="10"/>
      <c r="F233" s="10">
        <v>44397</v>
      </c>
    </row>
    <row r="234" spans="5:6" ht="12.75">
      <c r="E234" s="10"/>
      <c r="F234" s="10">
        <v>44415</v>
      </c>
    </row>
    <row r="235" spans="5:6" ht="12.75">
      <c r="E235" s="10"/>
      <c r="F235" s="10">
        <v>44424</v>
      </c>
    </row>
    <row r="236" spans="5:6" ht="12.75">
      <c r="E236" s="10"/>
      <c r="F236" s="10">
        <v>44487</v>
      </c>
    </row>
    <row r="237" spans="5:6" ht="12.75">
      <c r="E237" s="10"/>
      <c r="F237" s="10">
        <v>44501</v>
      </c>
    </row>
    <row r="238" spans="5:6" ht="12.75">
      <c r="E238" s="10"/>
      <c r="F238" s="10">
        <v>44515</v>
      </c>
    </row>
    <row r="239" spans="5:6" ht="12.75">
      <c r="E239" s="10"/>
      <c r="F239" s="10">
        <v>44538</v>
      </c>
    </row>
    <row r="240" spans="5:6" ht="12.75">
      <c r="E240" s="10"/>
      <c r="F240" s="10">
        <v>44555</v>
      </c>
    </row>
  </sheetData>
  <sheetProtection password="C539" sheet="1" objects="1" scenarios="1"/>
  <mergeCells count="2">
    <mergeCell ref="A9:B9"/>
    <mergeCell ref="A27:B27"/>
  </mergeCells>
  <printOptions/>
  <pageMargins left="0.75" right="0.75" top="1" bottom="1" header="0" footer="0"/>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Hoja2"/>
  <dimension ref="A1:P195"/>
  <sheetViews>
    <sheetView showGridLines="0" zoomScalePageLayoutView="0" workbookViewId="0" topLeftCell="A1">
      <pane xSplit="1" ySplit="1" topLeftCell="B65" activePane="bottomRight" state="frozen"/>
      <selection pane="topLeft" activeCell="A1" sqref="A1"/>
      <selection pane="topRight" activeCell="B1" sqref="B1"/>
      <selection pane="bottomLeft" activeCell="A7" sqref="A7"/>
      <selection pane="bottomRight" activeCell="C83" sqref="C83"/>
    </sheetView>
  </sheetViews>
  <sheetFormatPr defaultColWidth="0" defaultRowHeight="12.75" zeroHeight="1"/>
  <cols>
    <col min="1" max="1" width="10.140625" style="3" bestFit="1" customWidth="1"/>
    <col min="2" max="2" width="10.00390625" style="2" customWidth="1"/>
    <col min="3" max="3" width="14.421875" style="167" bestFit="1" customWidth="1"/>
    <col min="4" max="4" width="14.28125" style="1" hidden="1" customWidth="1"/>
    <col min="5" max="5" width="15.57421875" style="2" hidden="1" customWidth="1"/>
    <col min="6" max="6" width="17.8515625" style="2" hidden="1" customWidth="1"/>
    <col min="7" max="7" width="13.8515625" style="2" hidden="1" customWidth="1"/>
    <col min="8" max="8" width="12.140625" style="2" hidden="1" customWidth="1"/>
    <col min="9" max="9" width="10.140625" style="11" hidden="1" customWidth="1"/>
    <col min="10" max="10" width="12.140625" style="3" hidden="1" customWidth="1"/>
    <col min="11" max="11" width="14.57421875" style="3" hidden="1" customWidth="1"/>
    <col min="12" max="12" width="16.57421875" style="95" bestFit="1" customWidth="1"/>
    <col min="13" max="13" width="18.57421875" style="95" bestFit="1" customWidth="1"/>
    <col min="14" max="14" width="19.140625" style="95" bestFit="1" customWidth="1"/>
    <col min="15" max="15" width="18.57421875" style="95" bestFit="1" customWidth="1"/>
    <col min="16" max="16" width="18.28125" style="95" hidden="1" customWidth="1"/>
    <col min="17" max="16384" width="10.00390625" style="95" hidden="1" customWidth="1"/>
  </cols>
  <sheetData>
    <row r="1" spans="1:15" s="92" customFormat="1" ht="13.5" thickBot="1">
      <c r="A1" s="17" t="s">
        <v>0</v>
      </c>
      <c r="B1" s="18" t="s">
        <v>17</v>
      </c>
      <c r="C1" s="166" t="s">
        <v>6</v>
      </c>
      <c r="D1" s="19" t="s">
        <v>53</v>
      </c>
      <c r="E1" s="18" t="s">
        <v>54</v>
      </c>
      <c r="F1" s="18" t="s">
        <v>55</v>
      </c>
      <c r="G1" s="18" t="s">
        <v>56</v>
      </c>
      <c r="H1" s="27" t="s">
        <v>16</v>
      </c>
      <c r="I1" s="29" t="s">
        <v>28</v>
      </c>
      <c r="J1" s="24" t="s">
        <v>29</v>
      </c>
      <c r="K1" s="20" t="s">
        <v>40</v>
      </c>
      <c r="L1" s="17" t="s">
        <v>57</v>
      </c>
      <c r="M1" s="19" t="s">
        <v>59</v>
      </c>
      <c r="N1" s="19" t="s">
        <v>60</v>
      </c>
      <c r="O1" s="45" t="s">
        <v>61</v>
      </c>
    </row>
    <row r="2" spans="1:15" ht="12.75">
      <c r="A2" s="4">
        <f>+'CALCULADORA TIPS E-6'!C12</f>
        <v>38342</v>
      </c>
      <c r="B2" s="9">
        <f>IF(DIAS365('CALCULADORA TIPS E-6'!$E$6,A2)&lt;0,0,DIAS365('CALCULADORA TIPS E-6'!$E$6,A2))</f>
        <v>0</v>
      </c>
      <c r="C2" s="5">
        <v>0</v>
      </c>
      <c r="D2" s="14" t="e">
        <f>+'CALCULADORA TIPS E-6'!F15/'Flujos Mensuales'!C183</f>
        <v>#DIV/0!</v>
      </c>
      <c r="E2" s="15">
        <v>0</v>
      </c>
      <c r="F2" s="15">
        <v>0</v>
      </c>
      <c r="G2" s="15">
        <f>F2+E2</f>
        <v>0</v>
      </c>
      <c r="H2" s="28">
        <f>IF($B2&lt;0,0,G2/POWER(1+'CALCULADORA TIPS E-6'!$F$11,'Flujos Mensuales'!$B2/365))</f>
        <v>0</v>
      </c>
      <c r="I2" s="30">
        <f>+A2</f>
        <v>38342</v>
      </c>
      <c r="J2" s="25">
        <v>0</v>
      </c>
      <c r="K2" s="12">
        <v>0</v>
      </c>
      <c r="L2" s="180" t="e">
        <f>+Características!B18/'Flujos Mensuales'!C183</f>
        <v>#DIV/0!</v>
      </c>
      <c r="M2" s="93">
        <v>0</v>
      </c>
      <c r="N2" s="93">
        <v>0</v>
      </c>
      <c r="O2" s="94">
        <f>+N2+M2</f>
        <v>0</v>
      </c>
    </row>
    <row r="3" spans="1:16" ht="12.75">
      <c r="A3" s="4">
        <f aca="true" t="shared" si="0" ref="A3:A34">_XLL.FECHA.MES(A2,1)</f>
        <v>38373</v>
      </c>
      <c r="B3" s="9">
        <f>IF(DIAS365('CALCULADORA TIPS E-6'!$E$6,A3)&lt;0,0,DIAS365('CALCULADORA TIPS E-6'!$E$6,A3))</f>
        <v>0</v>
      </c>
      <c r="C3" s="5">
        <f>+HLOOKUP('CALCULADORA TIPS E-6'!$E$4,Tablas!$B$1:$D$181,'Flujos Mensuales'!J3+1,FALSE)</f>
        <v>0</v>
      </c>
      <c r="D3" s="14" t="e">
        <f>+ROUND(D2-E3,6)</f>
        <v>#DIV/0!</v>
      </c>
      <c r="E3" s="15" t="e">
        <f>ROUND(C3*$D$2,6)</f>
        <v>#DIV/0!</v>
      </c>
      <c r="F3" s="15" t="e">
        <f>ROUND(D2*ROUND(((1+'CALCULADORA TIPS E-6'!$C$14)^(1/12)-1),6),6)</f>
        <v>#DIV/0!</v>
      </c>
      <c r="G3" s="15" t="e">
        <f>F3+E3</f>
        <v>#DIV/0!</v>
      </c>
      <c r="H3" s="28">
        <f>IF($B3=0,0,G3/POWER(1+'CALCULADORA TIPS E-6'!$F$11,'Flujos Mensuales'!$B3/365))</f>
        <v>0</v>
      </c>
      <c r="I3" s="30">
        <f aca="true" t="shared" si="1" ref="I3:I66">+A3</f>
        <v>38373</v>
      </c>
      <c r="J3" s="25">
        <v>1</v>
      </c>
      <c r="K3" s="12">
        <f>+DIAS365($A$2,A3)</f>
        <v>31</v>
      </c>
      <c r="L3" s="96" t="e">
        <f>+L2-M3</f>
        <v>#DIV/0!</v>
      </c>
      <c r="M3" s="93" t="e">
        <f>+$L$2*C3</f>
        <v>#DIV/0!</v>
      </c>
      <c r="N3" s="93" t="e">
        <f>+L2*$F$3%</f>
        <v>#DIV/0!</v>
      </c>
      <c r="O3" s="94" t="e">
        <f>+N3+M3</f>
        <v>#DIV/0!</v>
      </c>
      <c r="P3" s="97"/>
    </row>
    <row r="4" spans="1:16" ht="12.75">
      <c r="A4" s="4">
        <f t="shared" si="0"/>
        <v>38404</v>
      </c>
      <c r="B4" s="9">
        <f>IF(DIAS365('CALCULADORA TIPS E-6'!$E$6,A4)&lt;0,0,DIAS365('CALCULADORA TIPS E-6'!$E$6,A4))</f>
        <v>0</v>
      </c>
      <c r="C4" s="5">
        <f>+HLOOKUP('CALCULADORA TIPS E-6'!$E$4,Tablas!$B$1:$D$181,'Flujos Mensuales'!J4+1,FALSE)</f>
        <v>0</v>
      </c>
      <c r="D4" s="14" t="e">
        <f aca="true" t="shared" si="2" ref="D4:D67">+ROUND(D3-E4,6)</f>
        <v>#DIV/0!</v>
      </c>
      <c r="E4" s="15" t="e">
        <f aca="true" t="shared" si="3" ref="E4:E67">ROUND(C4*$D$2,6)</f>
        <v>#DIV/0!</v>
      </c>
      <c r="F4" s="15" t="e">
        <f>ROUND(D3*ROUND(((1+'CALCULADORA TIPS E-6'!$C$14)^(1/12)-1),6),6)</f>
        <v>#DIV/0!</v>
      </c>
      <c r="G4" s="15" t="e">
        <f aca="true" t="shared" si="4" ref="G4:G67">F4+E4</f>
        <v>#DIV/0!</v>
      </c>
      <c r="H4" s="28">
        <f>IF($B4=0,0,G4/POWER(1+'CALCULADORA TIPS E-6'!$F$11,'Flujos Mensuales'!$B4/365))</f>
        <v>0</v>
      </c>
      <c r="I4" s="30">
        <f t="shared" si="1"/>
        <v>38404</v>
      </c>
      <c r="J4" s="25">
        <v>2</v>
      </c>
      <c r="K4" s="12">
        <f aca="true" t="shared" si="5" ref="K4:K67">+DIAS365($A$2,A4)</f>
        <v>62</v>
      </c>
      <c r="L4" s="96" t="e">
        <f aca="true" t="shared" si="6" ref="L4:L67">+L3-M4</f>
        <v>#DIV/0!</v>
      </c>
      <c r="M4" s="93" t="e">
        <f aca="true" t="shared" si="7" ref="M4:M67">+$L$2*C4</f>
        <v>#DIV/0!</v>
      </c>
      <c r="N4" s="93" t="e">
        <f aca="true" t="shared" si="8" ref="N4:N67">+L3*$F$3%</f>
        <v>#DIV/0!</v>
      </c>
      <c r="O4" s="94" t="e">
        <f aca="true" t="shared" si="9" ref="O4:O67">+N4+M4</f>
        <v>#DIV/0!</v>
      </c>
      <c r="P4" s="97"/>
    </row>
    <row r="5" spans="1:16" ht="12.75">
      <c r="A5" s="4">
        <f t="shared" si="0"/>
        <v>38432</v>
      </c>
      <c r="B5" s="9">
        <f>IF(DIAS365('CALCULADORA TIPS E-6'!$E$6,A5)&lt;0,0,DIAS365('CALCULADORA TIPS E-6'!$E$6,A5))</f>
        <v>0</v>
      </c>
      <c r="C5" s="5">
        <f>+HLOOKUP('CALCULADORA TIPS E-6'!$E$4,Tablas!$B$1:$D$181,'Flujos Mensuales'!J5+1,FALSE)</f>
        <v>0</v>
      </c>
      <c r="D5" s="14" t="e">
        <f t="shared" si="2"/>
        <v>#DIV/0!</v>
      </c>
      <c r="E5" s="15" t="e">
        <f t="shared" si="3"/>
        <v>#DIV/0!</v>
      </c>
      <c r="F5" s="15" t="e">
        <f>ROUND(D4*ROUND(((1+'CALCULADORA TIPS E-6'!$C$14)^(1/12)-1),6),6)</f>
        <v>#DIV/0!</v>
      </c>
      <c r="G5" s="15" t="e">
        <f t="shared" si="4"/>
        <v>#DIV/0!</v>
      </c>
      <c r="H5" s="28">
        <f>IF($B5=0,0,G5/POWER(1+'CALCULADORA TIPS E-6'!$F$11,'Flujos Mensuales'!$B5/365))</f>
        <v>0</v>
      </c>
      <c r="I5" s="30">
        <f t="shared" si="1"/>
        <v>38432</v>
      </c>
      <c r="J5" s="25">
        <v>3</v>
      </c>
      <c r="K5" s="12">
        <f t="shared" si="5"/>
        <v>90</v>
      </c>
      <c r="L5" s="96" t="e">
        <f t="shared" si="6"/>
        <v>#DIV/0!</v>
      </c>
      <c r="M5" s="93" t="e">
        <f t="shared" si="7"/>
        <v>#DIV/0!</v>
      </c>
      <c r="N5" s="93" t="e">
        <f t="shared" si="8"/>
        <v>#DIV/0!</v>
      </c>
      <c r="O5" s="94" t="e">
        <f t="shared" si="9"/>
        <v>#DIV/0!</v>
      </c>
      <c r="P5" s="97"/>
    </row>
    <row r="6" spans="1:15" ht="12.75">
      <c r="A6" s="4">
        <f t="shared" si="0"/>
        <v>38463</v>
      </c>
      <c r="B6" s="9">
        <f>IF(DIAS365('CALCULADORA TIPS E-6'!$E$6,A6)&lt;0,0,DIAS365('CALCULADORA TIPS E-6'!$E$6,A6))</f>
        <v>0</v>
      </c>
      <c r="C6" s="5">
        <f>+HLOOKUP('CALCULADORA TIPS E-6'!$E$4,Tablas!$B$1:$D$181,'Flujos Mensuales'!J6+1,FALSE)</f>
        <v>0</v>
      </c>
      <c r="D6" s="14" t="e">
        <f t="shared" si="2"/>
        <v>#DIV/0!</v>
      </c>
      <c r="E6" s="15" t="e">
        <f t="shared" si="3"/>
        <v>#DIV/0!</v>
      </c>
      <c r="F6" s="15" t="e">
        <f>ROUND(D5*ROUND(((1+'CALCULADORA TIPS E-6'!$C$14)^(1/12)-1),6),6)</f>
        <v>#DIV/0!</v>
      </c>
      <c r="G6" s="15" t="e">
        <f t="shared" si="4"/>
        <v>#DIV/0!</v>
      </c>
      <c r="H6" s="28">
        <f>IF($B6=0,0,G6/POWER(1+'CALCULADORA TIPS E-6'!$F$11,'Flujos Mensuales'!$B6/365))</f>
        <v>0</v>
      </c>
      <c r="I6" s="30">
        <f t="shared" si="1"/>
        <v>38463</v>
      </c>
      <c r="J6" s="25">
        <v>4</v>
      </c>
      <c r="K6" s="12">
        <f t="shared" si="5"/>
        <v>121</v>
      </c>
      <c r="L6" s="96" t="e">
        <f t="shared" si="6"/>
        <v>#DIV/0!</v>
      </c>
      <c r="M6" s="93" t="e">
        <f t="shared" si="7"/>
        <v>#DIV/0!</v>
      </c>
      <c r="N6" s="93" t="e">
        <f t="shared" si="8"/>
        <v>#DIV/0!</v>
      </c>
      <c r="O6" s="94" t="e">
        <f t="shared" si="9"/>
        <v>#DIV/0!</v>
      </c>
    </row>
    <row r="7" spans="1:15" ht="12.75">
      <c r="A7" s="4">
        <f t="shared" si="0"/>
        <v>38493</v>
      </c>
      <c r="B7" s="9">
        <f>IF(DIAS365('CALCULADORA TIPS E-6'!$E$6,A7)&lt;0,0,DIAS365('CALCULADORA TIPS E-6'!$E$6,A7))</f>
        <v>0</v>
      </c>
      <c r="C7" s="5">
        <f>+HLOOKUP('CALCULADORA TIPS E-6'!$E$4,Tablas!$B$1:$D$181,'Flujos Mensuales'!J7+1,FALSE)</f>
        <v>0</v>
      </c>
      <c r="D7" s="14" t="e">
        <f t="shared" si="2"/>
        <v>#DIV/0!</v>
      </c>
      <c r="E7" s="15" t="e">
        <f t="shared" si="3"/>
        <v>#DIV/0!</v>
      </c>
      <c r="F7" s="15" t="e">
        <f>ROUND(D6*ROUND(((1+'CALCULADORA TIPS E-6'!$C$14)^(1/12)-1),6),6)</f>
        <v>#DIV/0!</v>
      </c>
      <c r="G7" s="15" t="e">
        <f t="shared" si="4"/>
        <v>#DIV/0!</v>
      </c>
      <c r="H7" s="28">
        <f>IF($B7=0,0,G7/POWER(1+'CALCULADORA TIPS E-6'!$F$11,'Flujos Mensuales'!$B7/365))</f>
        <v>0</v>
      </c>
      <c r="I7" s="30">
        <f t="shared" si="1"/>
        <v>38493</v>
      </c>
      <c r="J7" s="25">
        <v>5</v>
      </c>
      <c r="K7" s="12">
        <f t="shared" si="5"/>
        <v>151</v>
      </c>
      <c r="L7" s="96" t="e">
        <f t="shared" si="6"/>
        <v>#DIV/0!</v>
      </c>
      <c r="M7" s="93" t="e">
        <f t="shared" si="7"/>
        <v>#DIV/0!</v>
      </c>
      <c r="N7" s="93" t="e">
        <f t="shared" si="8"/>
        <v>#DIV/0!</v>
      </c>
      <c r="O7" s="94" t="e">
        <f t="shared" si="9"/>
        <v>#DIV/0!</v>
      </c>
    </row>
    <row r="8" spans="1:15" ht="12.75">
      <c r="A8" s="4">
        <f t="shared" si="0"/>
        <v>38524</v>
      </c>
      <c r="B8" s="9">
        <f>IF(DIAS365('CALCULADORA TIPS E-6'!$E$6,A8)&lt;0,0,DIAS365('CALCULADORA TIPS E-6'!$E$6,A8))</f>
        <v>0</v>
      </c>
      <c r="C8" s="5">
        <f>+HLOOKUP('CALCULADORA TIPS E-6'!$E$4,Tablas!$B$1:$D$181,'Flujos Mensuales'!J8+1,FALSE)</f>
        <v>0</v>
      </c>
      <c r="D8" s="14" t="e">
        <f t="shared" si="2"/>
        <v>#DIV/0!</v>
      </c>
      <c r="E8" s="15" t="e">
        <f t="shared" si="3"/>
        <v>#DIV/0!</v>
      </c>
      <c r="F8" s="15" t="e">
        <f>ROUND(D7*ROUND(((1+'CALCULADORA TIPS E-6'!$C$14)^(1/12)-1),6),6)</f>
        <v>#DIV/0!</v>
      </c>
      <c r="G8" s="15" t="e">
        <f t="shared" si="4"/>
        <v>#DIV/0!</v>
      </c>
      <c r="H8" s="28">
        <f>IF($B8=0,0,G8/POWER(1+'CALCULADORA TIPS E-6'!$F$11,'Flujos Mensuales'!$B8/365))</f>
        <v>0</v>
      </c>
      <c r="I8" s="30">
        <f t="shared" si="1"/>
        <v>38524</v>
      </c>
      <c r="J8" s="25">
        <v>6</v>
      </c>
      <c r="K8" s="12">
        <f t="shared" si="5"/>
        <v>182</v>
      </c>
      <c r="L8" s="96" t="e">
        <f t="shared" si="6"/>
        <v>#DIV/0!</v>
      </c>
      <c r="M8" s="93" t="e">
        <f t="shared" si="7"/>
        <v>#DIV/0!</v>
      </c>
      <c r="N8" s="93" t="e">
        <f t="shared" si="8"/>
        <v>#DIV/0!</v>
      </c>
      <c r="O8" s="94" t="e">
        <f t="shared" si="9"/>
        <v>#DIV/0!</v>
      </c>
    </row>
    <row r="9" spans="1:15" ht="12.75">
      <c r="A9" s="4">
        <f t="shared" si="0"/>
        <v>38554</v>
      </c>
      <c r="B9" s="9">
        <f>IF(DIAS365('CALCULADORA TIPS E-6'!$E$6,A9)&lt;0,0,DIAS365('CALCULADORA TIPS E-6'!$E$6,A9))</f>
        <v>0</v>
      </c>
      <c r="C9" s="5">
        <f>+HLOOKUP('CALCULADORA TIPS E-6'!$E$4,Tablas!$B$1:$D$181,'Flujos Mensuales'!J9+1,FALSE)</f>
        <v>0</v>
      </c>
      <c r="D9" s="14" t="e">
        <f t="shared" si="2"/>
        <v>#DIV/0!</v>
      </c>
      <c r="E9" s="15" t="e">
        <f t="shared" si="3"/>
        <v>#DIV/0!</v>
      </c>
      <c r="F9" s="15" t="e">
        <f>ROUND(D8*ROUND(((1+'CALCULADORA TIPS E-6'!$C$14)^(1/12)-1),6),6)</f>
        <v>#DIV/0!</v>
      </c>
      <c r="G9" s="15" t="e">
        <f t="shared" si="4"/>
        <v>#DIV/0!</v>
      </c>
      <c r="H9" s="28">
        <f>IF($B9=0,0,G9/POWER(1+'CALCULADORA TIPS E-6'!$F$11,'Flujos Mensuales'!$B9/365))</f>
        <v>0</v>
      </c>
      <c r="I9" s="30">
        <f t="shared" si="1"/>
        <v>38554</v>
      </c>
      <c r="J9" s="25">
        <v>7</v>
      </c>
      <c r="K9" s="12">
        <f t="shared" si="5"/>
        <v>212</v>
      </c>
      <c r="L9" s="96" t="e">
        <f t="shared" si="6"/>
        <v>#DIV/0!</v>
      </c>
      <c r="M9" s="93" t="e">
        <f t="shared" si="7"/>
        <v>#DIV/0!</v>
      </c>
      <c r="N9" s="93" t="e">
        <f t="shared" si="8"/>
        <v>#DIV/0!</v>
      </c>
      <c r="O9" s="94" t="e">
        <f t="shared" si="9"/>
        <v>#DIV/0!</v>
      </c>
    </row>
    <row r="10" spans="1:15" ht="12.75">
      <c r="A10" s="4">
        <f t="shared" si="0"/>
        <v>38585</v>
      </c>
      <c r="B10" s="9">
        <f>IF(DIAS365('CALCULADORA TIPS E-6'!$E$6,A10)&lt;0,0,DIAS365('CALCULADORA TIPS E-6'!$E$6,A10))</f>
        <v>0</v>
      </c>
      <c r="C10" s="5">
        <f>+HLOOKUP('CALCULADORA TIPS E-6'!$E$4,Tablas!$B$1:$D$181,'Flujos Mensuales'!J10+1,FALSE)</f>
        <v>0</v>
      </c>
      <c r="D10" s="14" t="e">
        <f t="shared" si="2"/>
        <v>#DIV/0!</v>
      </c>
      <c r="E10" s="15" t="e">
        <f t="shared" si="3"/>
        <v>#DIV/0!</v>
      </c>
      <c r="F10" s="15" t="e">
        <f>ROUND(D9*ROUND(((1+'CALCULADORA TIPS E-6'!$C$14)^(1/12)-1),6),6)</f>
        <v>#DIV/0!</v>
      </c>
      <c r="G10" s="15" t="e">
        <f t="shared" si="4"/>
        <v>#DIV/0!</v>
      </c>
      <c r="H10" s="28">
        <f>IF($B10=0,0,G10/POWER(1+'CALCULADORA TIPS E-6'!$F$11,'Flujos Mensuales'!$B10/365))</f>
        <v>0</v>
      </c>
      <c r="I10" s="30">
        <f t="shared" si="1"/>
        <v>38585</v>
      </c>
      <c r="J10" s="25">
        <v>8</v>
      </c>
      <c r="K10" s="12">
        <f t="shared" si="5"/>
        <v>243</v>
      </c>
      <c r="L10" s="96" t="e">
        <f t="shared" si="6"/>
        <v>#DIV/0!</v>
      </c>
      <c r="M10" s="93" t="e">
        <f t="shared" si="7"/>
        <v>#DIV/0!</v>
      </c>
      <c r="N10" s="93" t="e">
        <f t="shared" si="8"/>
        <v>#DIV/0!</v>
      </c>
      <c r="O10" s="94" t="e">
        <f t="shared" si="9"/>
        <v>#DIV/0!</v>
      </c>
    </row>
    <row r="11" spans="1:15" ht="12.75">
      <c r="A11" s="4">
        <f t="shared" si="0"/>
        <v>38616</v>
      </c>
      <c r="B11" s="9">
        <f>IF(DIAS365('CALCULADORA TIPS E-6'!$E$6,A11)&lt;0,0,DIAS365('CALCULADORA TIPS E-6'!$E$6,A11))</f>
        <v>0</v>
      </c>
      <c r="C11" s="5">
        <f>+HLOOKUP('CALCULADORA TIPS E-6'!$E$4,Tablas!$B$1:$D$181,'Flujos Mensuales'!J11+1,FALSE)</f>
        <v>0</v>
      </c>
      <c r="D11" s="14" t="e">
        <f t="shared" si="2"/>
        <v>#DIV/0!</v>
      </c>
      <c r="E11" s="15" t="e">
        <f t="shared" si="3"/>
        <v>#DIV/0!</v>
      </c>
      <c r="F11" s="15" t="e">
        <f>ROUND(D10*ROUND(((1+'CALCULADORA TIPS E-6'!$C$14)^(1/12)-1),6),6)</f>
        <v>#DIV/0!</v>
      </c>
      <c r="G11" s="15" t="e">
        <f t="shared" si="4"/>
        <v>#DIV/0!</v>
      </c>
      <c r="H11" s="28">
        <f>IF($B11=0,0,G11/POWER(1+'CALCULADORA TIPS E-6'!$F$11,'Flujos Mensuales'!$B11/365))</f>
        <v>0</v>
      </c>
      <c r="I11" s="30">
        <f t="shared" si="1"/>
        <v>38616</v>
      </c>
      <c r="J11" s="25">
        <v>9</v>
      </c>
      <c r="K11" s="12">
        <f t="shared" si="5"/>
        <v>274</v>
      </c>
      <c r="L11" s="96" t="e">
        <f t="shared" si="6"/>
        <v>#DIV/0!</v>
      </c>
      <c r="M11" s="93" t="e">
        <f t="shared" si="7"/>
        <v>#DIV/0!</v>
      </c>
      <c r="N11" s="93" t="e">
        <f t="shared" si="8"/>
        <v>#DIV/0!</v>
      </c>
      <c r="O11" s="94" t="e">
        <f t="shared" si="9"/>
        <v>#DIV/0!</v>
      </c>
    </row>
    <row r="12" spans="1:15" ht="12.75">
      <c r="A12" s="4">
        <f t="shared" si="0"/>
        <v>38646</v>
      </c>
      <c r="B12" s="9">
        <f>IF(DIAS365('CALCULADORA TIPS E-6'!$E$6,A12)&lt;0,0,DIAS365('CALCULADORA TIPS E-6'!$E$6,A12))</f>
        <v>0</v>
      </c>
      <c r="C12" s="5">
        <f>+HLOOKUP('CALCULADORA TIPS E-6'!$E$4,Tablas!$B$1:$D$181,'Flujos Mensuales'!J12+1,FALSE)</f>
        <v>0</v>
      </c>
      <c r="D12" s="14" t="e">
        <f t="shared" si="2"/>
        <v>#DIV/0!</v>
      </c>
      <c r="E12" s="15" t="e">
        <f t="shared" si="3"/>
        <v>#DIV/0!</v>
      </c>
      <c r="F12" s="15" t="e">
        <f>ROUND(D11*ROUND(((1+'CALCULADORA TIPS E-6'!$C$14)^(1/12)-1),6),6)</f>
        <v>#DIV/0!</v>
      </c>
      <c r="G12" s="15" t="e">
        <f t="shared" si="4"/>
        <v>#DIV/0!</v>
      </c>
      <c r="H12" s="28">
        <f>IF($B12=0,0,G12/POWER(1+'CALCULADORA TIPS E-6'!$F$11,'Flujos Mensuales'!$B12/365))</f>
        <v>0</v>
      </c>
      <c r="I12" s="30">
        <f t="shared" si="1"/>
        <v>38646</v>
      </c>
      <c r="J12" s="25">
        <v>10</v>
      </c>
      <c r="K12" s="12">
        <f t="shared" si="5"/>
        <v>304</v>
      </c>
      <c r="L12" s="96" t="e">
        <f t="shared" si="6"/>
        <v>#DIV/0!</v>
      </c>
      <c r="M12" s="93" t="e">
        <f t="shared" si="7"/>
        <v>#DIV/0!</v>
      </c>
      <c r="N12" s="93" t="e">
        <f t="shared" si="8"/>
        <v>#DIV/0!</v>
      </c>
      <c r="O12" s="94" t="e">
        <f t="shared" si="9"/>
        <v>#DIV/0!</v>
      </c>
    </row>
    <row r="13" spans="1:15" ht="12.75">
      <c r="A13" s="4">
        <f t="shared" si="0"/>
        <v>38677</v>
      </c>
      <c r="B13" s="9">
        <f>IF(DIAS365('CALCULADORA TIPS E-6'!$E$6,A13)&lt;0,0,DIAS365('CALCULADORA TIPS E-6'!$E$6,A13))</f>
        <v>0</v>
      </c>
      <c r="C13" s="5">
        <f>+HLOOKUP('CALCULADORA TIPS E-6'!$E$4,Tablas!$B$1:$D$181,'Flujos Mensuales'!J13+1,FALSE)</f>
        <v>0</v>
      </c>
      <c r="D13" s="14" t="e">
        <f t="shared" si="2"/>
        <v>#DIV/0!</v>
      </c>
      <c r="E13" s="15" t="e">
        <f t="shared" si="3"/>
        <v>#DIV/0!</v>
      </c>
      <c r="F13" s="15" t="e">
        <f>ROUND(D12*ROUND(((1+'CALCULADORA TIPS E-6'!$C$14)^(1/12)-1),6),6)</f>
        <v>#DIV/0!</v>
      </c>
      <c r="G13" s="15" t="e">
        <f t="shared" si="4"/>
        <v>#DIV/0!</v>
      </c>
      <c r="H13" s="28">
        <f>IF($B13=0,0,G13/POWER(1+'CALCULADORA TIPS E-6'!$F$11,'Flujos Mensuales'!$B13/365))</f>
        <v>0</v>
      </c>
      <c r="I13" s="30">
        <f t="shared" si="1"/>
        <v>38677</v>
      </c>
      <c r="J13" s="25">
        <v>11</v>
      </c>
      <c r="K13" s="12">
        <f t="shared" si="5"/>
        <v>335</v>
      </c>
      <c r="L13" s="96" t="e">
        <f t="shared" si="6"/>
        <v>#DIV/0!</v>
      </c>
      <c r="M13" s="93" t="e">
        <f t="shared" si="7"/>
        <v>#DIV/0!</v>
      </c>
      <c r="N13" s="93" t="e">
        <f t="shared" si="8"/>
        <v>#DIV/0!</v>
      </c>
      <c r="O13" s="94" t="e">
        <f t="shared" si="9"/>
        <v>#DIV/0!</v>
      </c>
    </row>
    <row r="14" spans="1:15" ht="12.75">
      <c r="A14" s="4">
        <f t="shared" si="0"/>
        <v>38707</v>
      </c>
      <c r="B14" s="9">
        <f>IF(DIAS365('CALCULADORA TIPS E-6'!$E$6,A14)&lt;0,0,DIAS365('CALCULADORA TIPS E-6'!$E$6,A14))</f>
        <v>0</v>
      </c>
      <c r="C14" s="5">
        <f>+HLOOKUP('CALCULADORA TIPS E-6'!$E$4,Tablas!$B$1:$D$181,'Flujos Mensuales'!J14+1,FALSE)</f>
        <v>0</v>
      </c>
      <c r="D14" s="14" t="e">
        <f t="shared" si="2"/>
        <v>#DIV/0!</v>
      </c>
      <c r="E14" s="15" t="e">
        <f t="shared" si="3"/>
        <v>#DIV/0!</v>
      </c>
      <c r="F14" s="15" t="e">
        <f>ROUND(D13*ROUND(((1+'CALCULADORA TIPS E-6'!$C$14)^(1/12)-1),6),6)</f>
        <v>#DIV/0!</v>
      </c>
      <c r="G14" s="15" t="e">
        <f t="shared" si="4"/>
        <v>#DIV/0!</v>
      </c>
      <c r="H14" s="28">
        <f>IF($B14=0,0,G14/POWER(1+'CALCULADORA TIPS E-6'!$F$11,'Flujos Mensuales'!$B14/365))</f>
        <v>0</v>
      </c>
      <c r="I14" s="30">
        <f t="shared" si="1"/>
        <v>38707</v>
      </c>
      <c r="J14" s="25">
        <v>12</v>
      </c>
      <c r="K14" s="12">
        <f t="shared" si="5"/>
        <v>365</v>
      </c>
      <c r="L14" s="96" t="e">
        <f t="shared" si="6"/>
        <v>#DIV/0!</v>
      </c>
      <c r="M14" s="93" t="e">
        <f t="shared" si="7"/>
        <v>#DIV/0!</v>
      </c>
      <c r="N14" s="93" t="e">
        <f t="shared" si="8"/>
        <v>#DIV/0!</v>
      </c>
      <c r="O14" s="94" t="e">
        <f t="shared" si="9"/>
        <v>#DIV/0!</v>
      </c>
    </row>
    <row r="15" spans="1:15" ht="12.75">
      <c r="A15" s="4">
        <f t="shared" si="0"/>
        <v>38738</v>
      </c>
      <c r="B15" s="9">
        <f>IF(DIAS365('CALCULADORA TIPS E-6'!$E$6,A15)&lt;0,0,DIAS365('CALCULADORA TIPS E-6'!$E$6,A15))</f>
        <v>0</v>
      </c>
      <c r="C15" s="5">
        <f>+HLOOKUP('CALCULADORA TIPS E-6'!$E$4,Tablas!$B$1:$D$181,'Flujos Mensuales'!J15+1,FALSE)</f>
        <v>0</v>
      </c>
      <c r="D15" s="14" t="e">
        <f t="shared" si="2"/>
        <v>#DIV/0!</v>
      </c>
      <c r="E15" s="15" t="e">
        <f t="shared" si="3"/>
        <v>#DIV/0!</v>
      </c>
      <c r="F15" s="15" t="e">
        <f>ROUND(D14*ROUND(((1+'CALCULADORA TIPS E-6'!$C$14)^(1/12)-1),6),6)</f>
        <v>#DIV/0!</v>
      </c>
      <c r="G15" s="15" t="e">
        <f t="shared" si="4"/>
        <v>#DIV/0!</v>
      </c>
      <c r="H15" s="28">
        <f>IF($B15=0,0,G15/POWER(1+'CALCULADORA TIPS E-6'!$F$11,'Flujos Mensuales'!$B15/365))</f>
        <v>0</v>
      </c>
      <c r="I15" s="30">
        <f t="shared" si="1"/>
        <v>38738</v>
      </c>
      <c r="J15" s="25">
        <v>13</v>
      </c>
      <c r="K15" s="12">
        <f t="shared" si="5"/>
        <v>396</v>
      </c>
      <c r="L15" s="96" t="e">
        <f t="shared" si="6"/>
        <v>#DIV/0!</v>
      </c>
      <c r="M15" s="93" t="e">
        <f t="shared" si="7"/>
        <v>#DIV/0!</v>
      </c>
      <c r="N15" s="93" t="e">
        <f t="shared" si="8"/>
        <v>#DIV/0!</v>
      </c>
      <c r="O15" s="94" t="e">
        <f t="shared" si="9"/>
        <v>#DIV/0!</v>
      </c>
    </row>
    <row r="16" spans="1:15" ht="12.75">
      <c r="A16" s="4">
        <f t="shared" si="0"/>
        <v>38769</v>
      </c>
      <c r="B16" s="9">
        <f>IF(DIAS365('CALCULADORA TIPS E-6'!$E$6,A16)&lt;0,0,DIAS365('CALCULADORA TIPS E-6'!$E$6,A16))</f>
        <v>0</v>
      </c>
      <c r="C16" s="5">
        <f>+HLOOKUP('CALCULADORA TIPS E-6'!$E$4,Tablas!$B$1:$D$181,'Flujos Mensuales'!J16+1,FALSE)</f>
        <v>0</v>
      </c>
      <c r="D16" s="14" t="e">
        <f t="shared" si="2"/>
        <v>#DIV/0!</v>
      </c>
      <c r="E16" s="15" t="e">
        <f t="shared" si="3"/>
        <v>#DIV/0!</v>
      </c>
      <c r="F16" s="15" t="e">
        <f>ROUND(D15*ROUND(((1+'CALCULADORA TIPS E-6'!$C$14)^(1/12)-1),6),6)</f>
        <v>#DIV/0!</v>
      </c>
      <c r="G16" s="15" t="e">
        <f t="shared" si="4"/>
        <v>#DIV/0!</v>
      </c>
      <c r="H16" s="28">
        <f>IF($B16=0,0,G16/POWER(1+'CALCULADORA TIPS E-6'!$F$11,'Flujos Mensuales'!$B16/365))</f>
        <v>0</v>
      </c>
      <c r="I16" s="30">
        <f t="shared" si="1"/>
        <v>38769</v>
      </c>
      <c r="J16" s="25">
        <v>14</v>
      </c>
      <c r="K16" s="12">
        <f t="shared" si="5"/>
        <v>427</v>
      </c>
      <c r="L16" s="96" t="e">
        <f t="shared" si="6"/>
        <v>#DIV/0!</v>
      </c>
      <c r="M16" s="93" t="e">
        <f t="shared" si="7"/>
        <v>#DIV/0!</v>
      </c>
      <c r="N16" s="93" t="e">
        <f t="shared" si="8"/>
        <v>#DIV/0!</v>
      </c>
      <c r="O16" s="94" t="e">
        <f t="shared" si="9"/>
        <v>#DIV/0!</v>
      </c>
    </row>
    <row r="17" spans="1:15" ht="12.75">
      <c r="A17" s="4">
        <f t="shared" si="0"/>
        <v>38797</v>
      </c>
      <c r="B17" s="9">
        <f>IF(DIAS365('CALCULADORA TIPS E-6'!$E$6,A17)&lt;0,0,DIAS365('CALCULADORA TIPS E-6'!$E$6,A17))</f>
        <v>0</v>
      </c>
      <c r="C17" s="5">
        <f>+HLOOKUP('CALCULADORA TIPS E-6'!$E$4,Tablas!$B$1:$D$181,'Flujos Mensuales'!J17+1,FALSE)</f>
        <v>0</v>
      </c>
      <c r="D17" s="14" t="e">
        <f t="shared" si="2"/>
        <v>#DIV/0!</v>
      </c>
      <c r="E17" s="15" t="e">
        <f t="shared" si="3"/>
        <v>#DIV/0!</v>
      </c>
      <c r="F17" s="15" t="e">
        <f>ROUND(D16*ROUND(((1+'CALCULADORA TIPS E-6'!$C$14)^(1/12)-1),6),6)</f>
        <v>#DIV/0!</v>
      </c>
      <c r="G17" s="15" t="e">
        <f t="shared" si="4"/>
        <v>#DIV/0!</v>
      </c>
      <c r="H17" s="28">
        <f>IF($B17=0,0,G17/POWER(1+'CALCULADORA TIPS E-6'!$F$11,'Flujos Mensuales'!$B17/365))</f>
        <v>0</v>
      </c>
      <c r="I17" s="30">
        <f t="shared" si="1"/>
        <v>38797</v>
      </c>
      <c r="J17" s="25">
        <v>15</v>
      </c>
      <c r="K17" s="12">
        <f t="shared" si="5"/>
        <v>455</v>
      </c>
      <c r="L17" s="96" t="e">
        <f t="shared" si="6"/>
        <v>#DIV/0!</v>
      </c>
      <c r="M17" s="93" t="e">
        <f t="shared" si="7"/>
        <v>#DIV/0!</v>
      </c>
      <c r="N17" s="93" t="e">
        <f t="shared" si="8"/>
        <v>#DIV/0!</v>
      </c>
      <c r="O17" s="94" t="e">
        <f t="shared" si="9"/>
        <v>#DIV/0!</v>
      </c>
    </row>
    <row r="18" spans="1:15" ht="12.75">
      <c r="A18" s="4">
        <f t="shared" si="0"/>
        <v>38828</v>
      </c>
      <c r="B18" s="9">
        <f>IF(DIAS365('CALCULADORA TIPS E-6'!$E$6,A18)&lt;0,0,DIAS365('CALCULADORA TIPS E-6'!$E$6,A18))</f>
        <v>0</v>
      </c>
      <c r="C18" s="5">
        <f>+HLOOKUP('CALCULADORA TIPS E-6'!$E$4,Tablas!$B$1:$D$181,'Flujos Mensuales'!J18+1,FALSE)</f>
        <v>0</v>
      </c>
      <c r="D18" s="14" t="e">
        <f t="shared" si="2"/>
        <v>#DIV/0!</v>
      </c>
      <c r="E18" s="15" t="e">
        <f t="shared" si="3"/>
        <v>#DIV/0!</v>
      </c>
      <c r="F18" s="15" t="e">
        <f>ROUND(D17*ROUND(((1+'CALCULADORA TIPS E-6'!$C$14)^(1/12)-1),6),6)</f>
        <v>#DIV/0!</v>
      </c>
      <c r="G18" s="15" t="e">
        <f t="shared" si="4"/>
        <v>#DIV/0!</v>
      </c>
      <c r="H18" s="28">
        <f>IF($B18=0,0,G18/POWER(1+'CALCULADORA TIPS E-6'!$F$11,'Flujos Mensuales'!$B18/365))</f>
        <v>0</v>
      </c>
      <c r="I18" s="30">
        <f t="shared" si="1"/>
        <v>38828</v>
      </c>
      <c r="J18" s="25">
        <v>16</v>
      </c>
      <c r="K18" s="12">
        <f t="shared" si="5"/>
        <v>486</v>
      </c>
      <c r="L18" s="96" t="e">
        <f t="shared" si="6"/>
        <v>#DIV/0!</v>
      </c>
      <c r="M18" s="93" t="e">
        <f t="shared" si="7"/>
        <v>#DIV/0!</v>
      </c>
      <c r="N18" s="93" t="e">
        <f t="shared" si="8"/>
        <v>#DIV/0!</v>
      </c>
      <c r="O18" s="94" t="e">
        <f t="shared" si="9"/>
        <v>#DIV/0!</v>
      </c>
    </row>
    <row r="19" spans="1:15" ht="12.75">
      <c r="A19" s="4">
        <f t="shared" si="0"/>
        <v>38858</v>
      </c>
      <c r="B19" s="9">
        <f>IF(DIAS365('CALCULADORA TIPS E-6'!$E$6,A19)&lt;0,0,DIAS365('CALCULADORA TIPS E-6'!$E$6,A19))</f>
        <v>0</v>
      </c>
      <c r="C19" s="5">
        <f>+HLOOKUP('CALCULADORA TIPS E-6'!$E$4,Tablas!$B$1:$D$181,'Flujos Mensuales'!J19+1,FALSE)</f>
        <v>0</v>
      </c>
      <c r="D19" s="14" t="e">
        <f t="shared" si="2"/>
        <v>#DIV/0!</v>
      </c>
      <c r="E19" s="15" t="e">
        <f t="shared" si="3"/>
        <v>#DIV/0!</v>
      </c>
      <c r="F19" s="15" t="e">
        <f>ROUND(D18*ROUND(((1+'CALCULADORA TIPS E-6'!$C$14)^(1/12)-1),6),6)</f>
        <v>#DIV/0!</v>
      </c>
      <c r="G19" s="15" t="e">
        <f t="shared" si="4"/>
        <v>#DIV/0!</v>
      </c>
      <c r="H19" s="28">
        <f>IF($B19=0,0,G19/POWER(1+'CALCULADORA TIPS E-6'!$F$11,'Flujos Mensuales'!$B19/365))</f>
        <v>0</v>
      </c>
      <c r="I19" s="30">
        <f t="shared" si="1"/>
        <v>38858</v>
      </c>
      <c r="J19" s="25">
        <v>17</v>
      </c>
      <c r="K19" s="12">
        <f t="shared" si="5"/>
        <v>516</v>
      </c>
      <c r="L19" s="96" t="e">
        <f t="shared" si="6"/>
        <v>#DIV/0!</v>
      </c>
      <c r="M19" s="93" t="e">
        <f t="shared" si="7"/>
        <v>#DIV/0!</v>
      </c>
      <c r="N19" s="93" t="e">
        <f t="shared" si="8"/>
        <v>#DIV/0!</v>
      </c>
      <c r="O19" s="94" t="e">
        <f t="shared" si="9"/>
        <v>#DIV/0!</v>
      </c>
    </row>
    <row r="20" spans="1:15" ht="12.75">
      <c r="A20" s="4">
        <f t="shared" si="0"/>
        <v>38889</v>
      </c>
      <c r="B20" s="9">
        <f>IF(DIAS365('CALCULADORA TIPS E-6'!$E$6,A20)&lt;0,0,DIAS365('CALCULADORA TIPS E-6'!$E$6,A20))</f>
        <v>0</v>
      </c>
      <c r="C20" s="5">
        <f>+HLOOKUP('CALCULADORA TIPS E-6'!$E$4,Tablas!$B$1:$D$181,'Flujos Mensuales'!J20+1,FALSE)</f>
        <v>0</v>
      </c>
      <c r="D20" s="14" t="e">
        <f t="shared" si="2"/>
        <v>#DIV/0!</v>
      </c>
      <c r="E20" s="15" t="e">
        <f t="shared" si="3"/>
        <v>#DIV/0!</v>
      </c>
      <c r="F20" s="15" t="e">
        <f>ROUND(D19*ROUND(((1+'CALCULADORA TIPS E-6'!$C$14)^(1/12)-1),6),6)</f>
        <v>#DIV/0!</v>
      </c>
      <c r="G20" s="15" t="e">
        <f t="shared" si="4"/>
        <v>#DIV/0!</v>
      </c>
      <c r="H20" s="28">
        <f>IF($B20=0,0,G20/POWER(1+'CALCULADORA TIPS E-6'!$F$11,'Flujos Mensuales'!$B20/365))</f>
        <v>0</v>
      </c>
      <c r="I20" s="30">
        <f t="shared" si="1"/>
        <v>38889</v>
      </c>
      <c r="J20" s="25">
        <v>18</v>
      </c>
      <c r="K20" s="12">
        <f t="shared" si="5"/>
        <v>547</v>
      </c>
      <c r="L20" s="96" t="e">
        <f t="shared" si="6"/>
        <v>#DIV/0!</v>
      </c>
      <c r="M20" s="93" t="e">
        <f t="shared" si="7"/>
        <v>#DIV/0!</v>
      </c>
      <c r="N20" s="93" t="e">
        <f t="shared" si="8"/>
        <v>#DIV/0!</v>
      </c>
      <c r="O20" s="94" t="e">
        <f t="shared" si="9"/>
        <v>#DIV/0!</v>
      </c>
    </row>
    <row r="21" spans="1:15" ht="12.75">
      <c r="A21" s="4">
        <f t="shared" si="0"/>
        <v>38919</v>
      </c>
      <c r="B21" s="9">
        <f>IF(DIAS365('CALCULADORA TIPS E-6'!$E$6,A21)&lt;0,0,DIAS365('CALCULADORA TIPS E-6'!$E$6,A21))</f>
        <v>0</v>
      </c>
      <c r="C21" s="5">
        <f>+HLOOKUP('CALCULADORA TIPS E-6'!$E$4,Tablas!$B$1:$D$181,'Flujos Mensuales'!J21+1,FALSE)</f>
        <v>0</v>
      </c>
      <c r="D21" s="14" t="e">
        <f t="shared" si="2"/>
        <v>#DIV/0!</v>
      </c>
      <c r="E21" s="15" t="e">
        <f t="shared" si="3"/>
        <v>#DIV/0!</v>
      </c>
      <c r="F21" s="15" t="e">
        <f>ROUND(D20*ROUND(((1+'CALCULADORA TIPS E-6'!$C$14)^(1/12)-1),6),6)</f>
        <v>#DIV/0!</v>
      </c>
      <c r="G21" s="15" t="e">
        <f t="shared" si="4"/>
        <v>#DIV/0!</v>
      </c>
      <c r="H21" s="28">
        <f>IF($B21=0,0,G21/POWER(1+'CALCULADORA TIPS E-6'!$F$11,'Flujos Mensuales'!$B21/365))</f>
        <v>0</v>
      </c>
      <c r="I21" s="30">
        <f t="shared" si="1"/>
        <v>38919</v>
      </c>
      <c r="J21" s="25">
        <v>19</v>
      </c>
      <c r="K21" s="12">
        <f t="shared" si="5"/>
        <v>577</v>
      </c>
      <c r="L21" s="96" t="e">
        <f t="shared" si="6"/>
        <v>#DIV/0!</v>
      </c>
      <c r="M21" s="93" t="e">
        <f t="shared" si="7"/>
        <v>#DIV/0!</v>
      </c>
      <c r="N21" s="93" t="e">
        <f t="shared" si="8"/>
        <v>#DIV/0!</v>
      </c>
      <c r="O21" s="94" t="e">
        <f t="shared" si="9"/>
        <v>#DIV/0!</v>
      </c>
    </row>
    <row r="22" spans="1:15" ht="12.75">
      <c r="A22" s="4">
        <f t="shared" si="0"/>
        <v>38950</v>
      </c>
      <c r="B22" s="9">
        <f>IF(DIAS365('CALCULADORA TIPS E-6'!$E$6,A22)&lt;0,0,DIAS365('CALCULADORA TIPS E-6'!$E$6,A22))</f>
        <v>0</v>
      </c>
      <c r="C22" s="5">
        <f>+HLOOKUP('CALCULADORA TIPS E-6'!$E$4,Tablas!$B$1:$D$181,'Flujos Mensuales'!J22+1,FALSE)</f>
        <v>0</v>
      </c>
      <c r="D22" s="14" t="e">
        <f t="shared" si="2"/>
        <v>#DIV/0!</v>
      </c>
      <c r="E22" s="15" t="e">
        <f t="shared" si="3"/>
        <v>#DIV/0!</v>
      </c>
      <c r="F22" s="15" t="e">
        <f>ROUND(D21*ROUND(((1+'CALCULADORA TIPS E-6'!$C$14)^(1/12)-1),6),6)</f>
        <v>#DIV/0!</v>
      </c>
      <c r="G22" s="15" t="e">
        <f t="shared" si="4"/>
        <v>#DIV/0!</v>
      </c>
      <c r="H22" s="28">
        <f>IF($B22=0,0,G22/POWER(1+'CALCULADORA TIPS E-6'!$F$11,'Flujos Mensuales'!$B22/365))</f>
        <v>0</v>
      </c>
      <c r="I22" s="30">
        <f t="shared" si="1"/>
        <v>38950</v>
      </c>
      <c r="J22" s="25">
        <v>20</v>
      </c>
      <c r="K22" s="12">
        <f t="shared" si="5"/>
        <v>608</v>
      </c>
      <c r="L22" s="96" t="e">
        <f t="shared" si="6"/>
        <v>#DIV/0!</v>
      </c>
      <c r="M22" s="93" t="e">
        <f t="shared" si="7"/>
        <v>#DIV/0!</v>
      </c>
      <c r="N22" s="93" t="e">
        <f t="shared" si="8"/>
        <v>#DIV/0!</v>
      </c>
      <c r="O22" s="94" t="e">
        <f t="shared" si="9"/>
        <v>#DIV/0!</v>
      </c>
    </row>
    <row r="23" spans="1:15" ht="12.75">
      <c r="A23" s="4">
        <f t="shared" si="0"/>
        <v>38981</v>
      </c>
      <c r="B23" s="9">
        <f>IF(DIAS365('CALCULADORA TIPS E-6'!$E$6,A23)&lt;0,0,DIAS365('CALCULADORA TIPS E-6'!$E$6,A23))</f>
        <v>0</v>
      </c>
      <c r="C23" s="5">
        <f>+HLOOKUP('CALCULADORA TIPS E-6'!$E$4,Tablas!$B$1:$D$181,'Flujos Mensuales'!J23+1,FALSE)</f>
        <v>0</v>
      </c>
      <c r="D23" s="14" t="e">
        <f t="shared" si="2"/>
        <v>#DIV/0!</v>
      </c>
      <c r="E23" s="15" t="e">
        <f t="shared" si="3"/>
        <v>#DIV/0!</v>
      </c>
      <c r="F23" s="15" t="e">
        <f>ROUND(D22*ROUND(((1+'CALCULADORA TIPS E-6'!$C$14)^(1/12)-1),6),6)</f>
        <v>#DIV/0!</v>
      </c>
      <c r="G23" s="15" t="e">
        <f t="shared" si="4"/>
        <v>#DIV/0!</v>
      </c>
      <c r="H23" s="28">
        <f>IF($B23=0,0,G23/POWER(1+'CALCULADORA TIPS E-6'!$F$11,'Flujos Mensuales'!$B23/365))</f>
        <v>0</v>
      </c>
      <c r="I23" s="30">
        <f t="shared" si="1"/>
        <v>38981</v>
      </c>
      <c r="J23" s="25">
        <v>21</v>
      </c>
      <c r="K23" s="12">
        <f t="shared" si="5"/>
        <v>639</v>
      </c>
      <c r="L23" s="96" t="e">
        <f t="shared" si="6"/>
        <v>#DIV/0!</v>
      </c>
      <c r="M23" s="93" t="e">
        <f t="shared" si="7"/>
        <v>#DIV/0!</v>
      </c>
      <c r="N23" s="93" t="e">
        <f t="shared" si="8"/>
        <v>#DIV/0!</v>
      </c>
      <c r="O23" s="94" t="e">
        <f t="shared" si="9"/>
        <v>#DIV/0!</v>
      </c>
    </row>
    <row r="24" spans="1:15" ht="12.75">
      <c r="A24" s="4">
        <f t="shared" si="0"/>
        <v>39011</v>
      </c>
      <c r="B24" s="9">
        <f>IF(DIAS365('CALCULADORA TIPS E-6'!$E$6,A24)&lt;0,0,DIAS365('CALCULADORA TIPS E-6'!$E$6,A24))</f>
        <v>0</v>
      </c>
      <c r="C24" s="5">
        <f>+HLOOKUP('CALCULADORA TIPS E-6'!$E$4,Tablas!$B$1:$D$181,'Flujos Mensuales'!J24+1,FALSE)</f>
        <v>0</v>
      </c>
      <c r="D24" s="14" t="e">
        <f t="shared" si="2"/>
        <v>#DIV/0!</v>
      </c>
      <c r="E24" s="15" t="e">
        <f t="shared" si="3"/>
        <v>#DIV/0!</v>
      </c>
      <c r="F24" s="15" t="e">
        <f>ROUND(D23*ROUND(((1+'CALCULADORA TIPS E-6'!$C$14)^(1/12)-1),6),6)</f>
        <v>#DIV/0!</v>
      </c>
      <c r="G24" s="15" t="e">
        <f t="shared" si="4"/>
        <v>#DIV/0!</v>
      </c>
      <c r="H24" s="28">
        <f>IF($B24=0,0,G24/POWER(1+'CALCULADORA TIPS E-6'!$F$11,'Flujos Mensuales'!$B24/365))</f>
        <v>0</v>
      </c>
      <c r="I24" s="30">
        <f t="shared" si="1"/>
        <v>39011</v>
      </c>
      <c r="J24" s="25">
        <v>22</v>
      </c>
      <c r="K24" s="12">
        <f t="shared" si="5"/>
        <v>669</v>
      </c>
      <c r="L24" s="96" t="e">
        <f t="shared" si="6"/>
        <v>#DIV/0!</v>
      </c>
      <c r="M24" s="93" t="e">
        <f t="shared" si="7"/>
        <v>#DIV/0!</v>
      </c>
      <c r="N24" s="93" t="e">
        <f t="shared" si="8"/>
        <v>#DIV/0!</v>
      </c>
      <c r="O24" s="94" t="e">
        <f t="shared" si="9"/>
        <v>#DIV/0!</v>
      </c>
    </row>
    <row r="25" spans="1:15" ht="12.75">
      <c r="A25" s="4">
        <f t="shared" si="0"/>
        <v>39042</v>
      </c>
      <c r="B25" s="9">
        <f>IF(DIAS365('CALCULADORA TIPS E-6'!$E$6,A25)&lt;0,0,DIAS365('CALCULADORA TIPS E-6'!$E$6,A25))</f>
        <v>0</v>
      </c>
      <c r="C25" s="5">
        <f>+HLOOKUP('CALCULADORA TIPS E-6'!$E$4,Tablas!$B$1:$D$181,'Flujos Mensuales'!J25+1,FALSE)</f>
        <v>0</v>
      </c>
      <c r="D25" s="14" t="e">
        <f t="shared" si="2"/>
        <v>#DIV/0!</v>
      </c>
      <c r="E25" s="15" t="e">
        <f t="shared" si="3"/>
        <v>#DIV/0!</v>
      </c>
      <c r="F25" s="15" t="e">
        <f>ROUND(D24*ROUND(((1+'CALCULADORA TIPS E-6'!$C$14)^(1/12)-1),6),6)</f>
        <v>#DIV/0!</v>
      </c>
      <c r="G25" s="15" t="e">
        <f t="shared" si="4"/>
        <v>#DIV/0!</v>
      </c>
      <c r="H25" s="28">
        <f>IF($B25=0,0,G25/POWER(1+'CALCULADORA TIPS E-6'!$F$11,'Flujos Mensuales'!$B25/365))</f>
        <v>0</v>
      </c>
      <c r="I25" s="30">
        <f t="shared" si="1"/>
        <v>39042</v>
      </c>
      <c r="J25" s="25">
        <v>23</v>
      </c>
      <c r="K25" s="12">
        <f t="shared" si="5"/>
        <v>700</v>
      </c>
      <c r="L25" s="96" t="e">
        <f t="shared" si="6"/>
        <v>#DIV/0!</v>
      </c>
      <c r="M25" s="93" t="e">
        <f t="shared" si="7"/>
        <v>#DIV/0!</v>
      </c>
      <c r="N25" s="93" t="e">
        <f t="shared" si="8"/>
        <v>#DIV/0!</v>
      </c>
      <c r="O25" s="94" t="e">
        <f t="shared" si="9"/>
        <v>#DIV/0!</v>
      </c>
    </row>
    <row r="26" spans="1:15" ht="12.75">
      <c r="A26" s="4">
        <f t="shared" si="0"/>
        <v>39072</v>
      </c>
      <c r="B26" s="9">
        <f>IF(DIAS365('CALCULADORA TIPS E-6'!$E$6,A26)&lt;0,0,DIAS365('CALCULADORA TIPS E-6'!$E$6,A26))</f>
        <v>0</v>
      </c>
      <c r="C26" s="5">
        <f>+HLOOKUP('CALCULADORA TIPS E-6'!$E$4,Tablas!$B$1:$D$181,'Flujos Mensuales'!J26+1,FALSE)</f>
        <v>0</v>
      </c>
      <c r="D26" s="14" t="e">
        <f t="shared" si="2"/>
        <v>#DIV/0!</v>
      </c>
      <c r="E26" s="15" t="e">
        <f t="shared" si="3"/>
        <v>#DIV/0!</v>
      </c>
      <c r="F26" s="15" t="e">
        <f>ROUND(D25*ROUND(((1+'CALCULADORA TIPS E-6'!$C$14)^(1/12)-1),6),6)</f>
        <v>#DIV/0!</v>
      </c>
      <c r="G26" s="15" t="e">
        <f t="shared" si="4"/>
        <v>#DIV/0!</v>
      </c>
      <c r="H26" s="28">
        <f>IF($B26=0,0,G26/POWER(1+'CALCULADORA TIPS E-6'!$F$11,'Flujos Mensuales'!$B26/365))</f>
        <v>0</v>
      </c>
      <c r="I26" s="30">
        <f t="shared" si="1"/>
        <v>39072</v>
      </c>
      <c r="J26" s="25">
        <v>24</v>
      </c>
      <c r="K26" s="12">
        <f t="shared" si="5"/>
        <v>730</v>
      </c>
      <c r="L26" s="96" t="e">
        <f t="shared" si="6"/>
        <v>#DIV/0!</v>
      </c>
      <c r="M26" s="93" t="e">
        <f t="shared" si="7"/>
        <v>#DIV/0!</v>
      </c>
      <c r="N26" s="93" t="e">
        <f t="shared" si="8"/>
        <v>#DIV/0!</v>
      </c>
      <c r="O26" s="94" t="e">
        <f t="shared" si="9"/>
        <v>#DIV/0!</v>
      </c>
    </row>
    <row r="27" spans="1:15" ht="12.75">
      <c r="A27" s="4">
        <f t="shared" si="0"/>
        <v>39103</v>
      </c>
      <c r="B27" s="9">
        <f>IF(DIAS365('CALCULADORA TIPS E-6'!$E$6,A27)&lt;0,0,DIAS365('CALCULADORA TIPS E-6'!$E$6,A27))</f>
        <v>0</v>
      </c>
      <c r="C27" s="5">
        <f>+HLOOKUP('CALCULADORA TIPS E-6'!$E$4,Tablas!$B$1:$D$181,'Flujos Mensuales'!J27+1,FALSE)</f>
        <v>0</v>
      </c>
      <c r="D27" s="14" t="e">
        <f t="shared" si="2"/>
        <v>#DIV/0!</v>
      </c>
      <c r="E27" s="15" t="e">
        <f t="shared" si="3"/>
        <v>#DIV/0!</v>
      </c>
      <c r="F27" s="15" t="e">
        <f>ROUND(D26*ROUND(((1+'CALCULADORA TIPS E-6'!$C$14)^(1/12)-1),6),6)</f>
        <v>#DIV/0!</v>
      </c>
      <c r="G27" s="15" t="e">
        <f t="shared" si="4"/>
        <v>#DIV/0!</v>
      </c>
      <c r="H27" s="28">
        <f>IF($B27=0,0,G27/POWER(1+'CALCULADORA TIPS E-6'!$F$11,'Flujos Mensuales'!$B27/365))</f>
        <v>0</v>
      </c>
      <c r="I27" s="30">
        <f t="shared" si="1"/>
        <v>39103</v>
      </c>
      <c r="J27" s="25">
        <v>25</v>
      </c>
      <c r="K27" s="12">
        <f t="shared" si="5"/>
        <v>761</v>
      </c>
      <c r="L27" s="96" t="e">
        <f t="shared" si="6"/>
        <v>#DIV/0!</v>
      </c>
      <c r="M27" s="93" t="e">
        <f t="shared" si="7"/>
        <v>#DIV/0!</v>
      </c>
      <c r="N27" s="93" t="e">
        <f t="shared" si="8"/>
        <v>#DIV/0!</v>
      </c>
      <c r="O27" s="94" t="e">
        <f t="shared" si="9"/>
        <v>#DIV/0!</v>
      </c>
    </row>
    <row r="28" spans="1:15" ht="12.75">
      <c r="A28" s="4">
        <f t="shared" si="0"/>
        <v>39134</v>
      </c>
      <c r="B28" s="9">
        <f>IF(DIAS365('CALCULADORA TIPS E-6'!$E$6,A28)&lt;0,0,DIAS365('CALCULADORA TIPS E-6'!$E$6,A28))</f>
        <v>0</v>
      </c>
      <c r="C28" s="5">
        <f>+HLOOKUP('CALCULADORA TIPS E-6'!$E$4,Tablas!$B$1:$D$181,'Flujos Mensuales'!J28+1,FALSE)</f>
        <v>0</v>
      </c>
      <c r="D28" s="14" t="e">
        <f t="shared" si="2"/>
        <v>#DIV/0!</v>
      </c>
      <c r="E28" s="15" t="e">
        <f t="shared" si="3"/>
        <v>#DIV/0!</v>
      </c>
      <c r="F28" s="15" t="e">
        <f>ROUND(D27*ROUND(((1+'CALCULADORA TIPS E-6'!$C$14)^(1/12)-1),6),6)</f>
        <v>#DIV/0!</v>
      </c>
      <c r="G28" s="15" t="e">
        <f t="shared" si="4"/>
        <v>#DIV/0!</v>
      </c>
      <c r="H28" s="28">
        <f>IF($B28=0,0,G28/POWER(1+'CALCULADORA TIPS E-6'!$F$11,'Flujos Mensuales'!$B28/365))</f>
        <v>0</v>
      </c>
      <c r="I28" s="30">
        <f t="shared" si="1"/>
        <v>39134</v>
      </c>
      <c r="J28" s="25">
        <v>26</v>
      </c>
      <c r="K28" s="12">
        <f t="shared" si="5"/>
        <v>792</v>
      </c>
      <c r="L28" s="96" t="e">
        <f t="shared" si="6"/>
        <v>#DIV/0!</v>
      </c>
      <c r="M28" s="93" t="e">
        <f t="shared" si="7"/>
        <v>#DIV/0!</v>
      </c>
      <c r="N28" s="93" t="e">
        <f t="shared" si="8"/>
        <v>#DIV/0!</v>
      </c>
      <c r="O28" s="94" t="e">
        <f t="shared" si="9"/>
        <v>#DIV/0!</v>
      </c>
    </row>
    <row r="29" spans="1:15" ht="12.75">
      <c r="A29" s="4">
        <f t="shared" si="0"/>
        <v>39162</v>
      </c>
      <c r="B29" s="9">
        <f>IF(DIAS365('CALCULADORA TIPS E-6'!$E$6,A29)&lt;0,0,DIAS365('CALCULADORA TIPS E-6'!$E$6,A29))</f>
        <v>0</v>
      </c>
      <c r="C29" s="5">
        <f>+HLOOKUP('CALCULADORA TIPS E-6'!$E$4,Tablas!$B$1:$D$181,'Flujos Mensuales'!J29+1,FALSE)</f>
        <v>0</v>
      </c>
      <c r="D29" s="14" t="e">
        <f t="shared" si="2"/>
        <v>#DIV/0!</v>
      </c>
      <c r="E29" s="15" t="e">
        <f t="shared" si="3"/>
        <v>#DIV/0!</v>
      </c>
      <c r="F29" s="15" t="e">
        <f>ROUND(D28*ROUND(((1+'CALCULADORA TIPS E-6'!$C$14)^(1/12)-1),6),6)</f>
        <v>#DIV/0!</v>
      </c>
      <c r="G29" s="15" t="e">
        <f t="shared" si="4"/>
        <v>#DIV/0!</v>
      </c>
      <c r="H29" s="28">
        <f>IF($B29=0,0,G29/POWER(1+'CALCULADORA TIPS E-6'!$F$11,'Flujos Mensuales'!$B29/365))</f>
        <v>0</v>
      </c>
      <c r="I29" s="30">
        <f t="shared" si="1"/>
        <v>39162</v>
      </c>
      <c r="J29" s="25">
        <v>27</v>
      </c>
      <c r="K29" s="12">
        <f t="shared" si="5"/>
        <v>820</v>
      </c>
      <c r="L29" s="96" t="e">
        <f t="shared" si="6"/>
        <v>#DIV/0!</v>
      </c>
      <c r="M29" s="93" t="e">
        <f t="shared" si="7"/>
        <v>#DIV/0!</v>
      </c>
      <c r="N29" s="93" t="e">
        <f t="shared" si="8"/>
        <v>#DIV/0!</v>
      </c>
      <c r="O29" s="94" t="e">
        <f t="shared" si="9"/>
        <v>#DIV/0!</v>
      </c>
    </row>
    <row r="30" spans="1:15" ht="12.75">
      <c r="A30" s="4">
        <f t="shared" si="0"/>
        <v>39193</v>
      </c>
      <c r="B30" s="9">
        <f>IF(DIAS365('CALCULADORA TIPS E-6'!$E$6,A30)&lt;0,0,DIAS365('CALCULADORA TIPS E-6'!$E$6,A30))</f>
        <v>0</v>
      </c>
      <c r="C30" s="5">
        <f>+HLOOKUP('CALCULADORA TIPS E-6'!$E$4,Tablas!$B$1:$D$181,'Flujos Mensuales'!J30+1,FALSE)</f>
        <v>0</v>
      </c>
      <c r="D30" s="14" t="e">
        <f t="shared" si="2"/>
        <v>#DIV/0!</v>
      </c>
      <c r="E30" s="15" t="e">
        <f t="shared" si="3"/>
        <v>#DIV/0!</v>
      </c>
      <c r="F30" s="15" t="e">
        <f>ROUND(D29*ROUND(((1+'CALCULADORA TIPS E-6'!$C$14)^(1/12)-1),6),6)</f>
        <v>#DIV/0!</v>
      </c>
      <c r="G30" s="15" t="e">
        <f t="shared" si="4"/>
        <v>#DIV/0!</v>
      </c>
      <c r="H30" s="28">
        <f>IF($B30=0,0,G30/POWER(1+'CALCULADORA TIPS E-6'!$F$11,'Flujos Mensuales'!$B30/365))</f>
        <v>0</v>
      </c>
      <c r="I30" s="30">
        <f t="shared" si="1"/>
        <v>39193</v>
      </c>
      <c r="J30" s="25">
        <v>28</v>
      </c>
      <c r="K30" s="12">
        <f t="shared" si="5"/>
        <v>851</v>
      </c>
      <c r="L30" s="96" t="e">
        <f t="shared" si="6"/>
        <v>#DIV/0!</v>
      </c>
      <c r="M30" s="93" t="e">
        <f t="shared" si="7"/>
        <v>#DIV/0!</v>
      </c>
      <c r="N30" s="93" t="e">
        <f t="shared" si="8"/>
        <v>#DIV/0!</v>
      </c>
      <c r="O30" s="94" t="e">
        <f t="shared" si="9"/>
        <v>#DIV/0!</v>
      </c>
    </row>
    <row r="31" spans="1:15" ht="12.75">
      <c r="A31" s="4">
        <f t="shared" si="0"/>
        <v>39223</v>
      </c>
      <c r="B31" s="9">
        <f>IF(DIAS365('CALCULADORA TIPS E-6'!$E$6,A31)&lt;0,0,DIAS365('CALCULADORA TIPS E-6'!$E$6,A31))</f>
        <v>0</v>
      </c>
      <c r="C31" s="5">
        <f>+HLOOKUP('CALCULADORA TIPS E-6'!$E$4,Tablas!$B$1:$D$181,'Flujos Mensuales'!J31+1,FALSE)</f>
        <v>0</v>
      </c>
      <c r="D31" s="14" t="e">
        <f t="shared" si="2"/>
        <v>#DIV/0!</v>
      </c>
      <c r="E31" s="15" t="e">
        <f t="shared" si="3"/>
        <v>#DIV/0!</v>
      </c>
      <c r="F31" s="15" t="e">
        <f>ROUND(D30*ROUND(((1+'CALCULADORA TIPS E-6'!$C$14)^(1/12)-1),6),6)</f>
        <v>#DIV/0!</v>
      </c>
      <c r="G31" s="15" t="e">
        <f t="shared" si="4"/>
        <v>#DIV/0!</v>
      </c>
      <c r="H31" s="28">
        <f>IF($B31=0,0,G31/POWER(1+'CALCULADORA TIPS E-6'!$F$11,'Flujos Mensuales'!$B31/365))</f>
        <v>0</v>
      </c>
      <c r="I31" s="30">
        <f t="shared" si="1"/>
        <v>39223</v>
      </c>
      <c r="J31" s="25">
        <v>29</v>
      </c>
      <c r="K31" s="12">
        <f t="shared" si="5"/>
        <v>881</v>
      </c>
      <c r="L31" s="96" t="e">
        <f t="shared" si="6"/>
        <v>#DIV/0!</v>
      </c>
      <c r="M31" s="93" t="e">
        <f t="shared" si="7"/>
        <v>#DIV/0!</v>
      </c>
      <c r="N31" s="93" t="e">
        <f t="shared" si="8"/>
        <v>#DIV/0!</v>
      </c>
      <c r="O31" s="94" t="e">
        <f t="shared" si="9"/>
        <v>#DIV/0!</v>
      </c>
    </row>
    <row r="32" spans="1:15" ht="12.75">
      <c r="A32" s="4">
        <f t="shared" si="0"/>
        <v>39254</v>
      </c>
      <c r="B32" s="9">
        <f>IF(DIAS365('CALCULADORA TIPS E-6'!$E$6,A32)&lt;0,0,DIAS365('CALCULADORA TIPS E-6'!$E$6,A32))</f>
        <v>0</v>
      </c>
      <c r="C32" s="5">
        <f>+HLOOKUP('CALCULADORA TIPS E-6'!$E$4,Tablas!$B$1:$D$181,'Flujos Mensuales'!J32+1,FALSE)</f>
        <v>0</v>
      </c>
      <c r="D32" s="14" t="e">
        <f t="shared" si="2"/>
        <v>#DIV/0!</v>
      </c>
      <c r="E32" s="15" t="e">
        <f t="shared" si="3"/>
        <v>#DIV/0!</v>
      </c>
      <c r="F32" s="15" t="e">
        <f>ROUND(D31*ROUND(((1+'CALCULADORA TIPS E-6'!$C$14)^(1/12)-1),6),6)</f>
        <v>#DIV/0!</v>
      </c>
      <c r="G32" s="15" t="e">
        <f t="shared" si="4"/>
        <v>#DIV/0!</v>
      </c>
      <c r="H32" s="28">
        <f>IF($B32=0,0,G32/POWER(1+'CALCULADORA TIPS E-6'!$F$11,'Flujos Mensuales'!$B32/365))</f>
        <v>0</v>
      </c>
      <c r="I32" s="30">
        <f t="shared" si="1"/>
        <v>39254</v>
      </c>
      <c r="J32" s="25">
        <v>30</v>
      </c>
      <c r="K32" s="12">
        <f t="shared" si="5"/>
        <v>912</v>
      </c>
      <c r="L32" s="96" t="e">
        <f t="shared" si="6"/>
        <v>#DIV/0!</v>
      </c>
      <c r="M32" s="93" t="e">
        <f t="shared" si="7"/>
        <v>#DIV/0!</v>
      </c>
      <c r="N32" s="93" t="e">
        <f t="shared" si="8"/>
        <v>#DIV/0!</v>
      </c>
      <c r="O32" s="94" t="e">
        <f t="shared" si="9"/>
        <v>#DIV/0!</v>
      </c>
    </row>
    <row r="33" spans="1:15" ht="12.75">
      <c r="A33" s="4">
        <f t="shared" si="0"/>
        <v>39284</v>
      </c>
      <c r="B33" s="9">
        <f>IF(DIAS365('CALCULADORA TIPS E-6'!$E$6,A33)&lt;0,0,DIAS365('CALCULADORA TIPS E-6'!$E$6,A33))</f>
        <v>0</v>
      </c>
      <c r="C33" s="5">
        <f>+HLOOKUP('CALCULADORA TIPS E-6'!$E$4,Tablas!$B$1:$D$181,'Flujos Mensuales'!J33+1,FALSE)</f>
        <v>0</v>
      </c>
      <c r="D33" s="14" t="e">
        <f t="shared" si="2"/>
        <v>#DIV/0!</v>
      </c>
      <c r="E33" s="15" t="e">
        <f t="shared" si="3"/>
        <v>#DIV/0!</v>
      </c>
      <c r="F33" s="15" t="e">
        <f>ROUND(D32*ROUND(((1+'CALCULADORA TIPS E-6'!$C$14)^(1/12)-1),6),6)</f>
        <v>#DIV/0!</v>
      </c>
      <c r="G33" s="15" t="e">
        <f t="shared" si="4"/>
        <v>#DIV/0!</v>
      </c>
      <c r="H33" s="28">
        <f>IF($B33=0,0,G33/POWER(1+'CALCULADORA TIPS E-6'!$F$11,'Flujos Mensuales'!$B33/365))</f>
        <v>0</v>
      </c>
      <c r="I33" s="30">
        <f t="shared" si="1"/>
        <v>39284</v>
      </c>
      <c r="J33" s="25">
        <v>31</v>
      </c>
      <c r="K33" s="12">
        <f t="shared" si="5"/>
        <v>942</v>
      </c>
      <c r="L33" s="96" t="e">
        <f t="shared" si="6"/>
        <v>#DIV/0!</v>
      </c>
      <c r="M33" s="93" t="e">
        <f t="shared" si="7"/>
        <v>#DIV/0!</v>
      </c>
      <c r="N33" s="93" t="e">
        <f t="shared" si="8"/>
        <v>#DIV/0!</v>
      </c>
      <c r="O33" s="94" t="e">
        <f t="shared" si="9"/>
        <v>#DIV/0!</v>
      </c>
    </row>
    <row r="34" spans="1:15" ht="12.75">
      <c r="A34" s="4">
        <f t="shared" si="0"/>
        <v>39315</v>
      </c>
      <c r="B34" s="9">
        <f>IF(DIAS365('CALCULADORA TIPS E-6'!$E$6,A34)&lt;0,0,DIAS365('CALCULADORA TIPS E-6'!$E$6,A34))</f>
        <v>0</v>
      </c>
      <c r="C34" s="5">
        <f>+HLOOKUP('CALCULADORA TIPS E-6'!$E$4,Tablas!$B$1:$D$181,'Flujos Mensuales'!J34+1,FALSE)</f>
        <v>0</v>
      </c>
      <c r="D34" s="14" t="e">
        <f t="shared" si="2"/>
        <v>#DIV/0!</v>
      </c>
      <c r="E34" s="15" t="e">
        <f t="shared" si="3"/>
        <v>#DIV/0!</v>
      </c>
      <c r="F34" s="15" t="e">
        <f>ROUND(D33*ROUND(((1+'CALCULADORA TIPS E-6'!$C$14)^(1/12)-1),6),6)</f>
        <v>#DIV/0!</v>
      </c>
      <c r="G34" s="15" t="e">
        <f t="shared" si="4"/>
        <v>#DIV/0!</v>
      </c>
      <c r="H34" s="28">
        <f>IF($B34=0,0,G34/POWER(1+'CALCULADORA TIPS E-6'!$F$11,'Flujos Mensuales'!$B34/365))</f>
        <v>0</v>
      </c>
      <c r="I34" s="30">
        <f t="shared" si="1"/>
        <v>39315</v>
      </c>
      <c r="J34" s="25">
        <v>32</v>
      </c>
      <c r="K34" s="12">
        <f t="shared" si="5"/>
        <v>973</v>
      </c>
      <c r="L34" s="96" t="e">
        <f t="shared" si="6"/>
        <v>#DIV/0!</v>
      </c>
      <c r="M34" s="93" t="e">
        <f t="shared" si="7"/>
        <v>#DIV/0!</v>
      </c>
      <c r="N34" s="93" t="e">
        <f t="shared" si="8"/>
        <v>#DIV/0!</v>
      </c>
      <c r="O34" s="94" t="e">
        <f t="shared" si="9"/>
        <v>#DIV/0!</v>
      </c>
    </row>
    <row r="35" spans="1:15" ht="12.75">
      <c r="A35" s="4">
        <f aca="true" t="shared" si="10" ref="A35:A66">_XLL.FECHA.MES(A34,1)</f>
        <v>39346</v>
      </c>
      <c r="B35" s="9">
        <f>IF(DIAS365('CALCULADORA TIPS E-6'!$E$6,A35)&lt;0,0,DIAS365('CALCULADORA TIPS E-6'!$E$6,A35))</f>
        <v>0</v>
      </c>
      <c r="C35" s="5">
        <f>+HLOOKUP('CALCULADORA TIPS E-6'!$E$4,Tablas!$B$1:$D$181,'Flujos Mensuales'!J35+1,FALSE)</f>
        <v>0</v>
      </c>
      <c r="D35" s="14" t="e">
        <f t="shared" si="2"/>
        <v>#DIV/0!</v>
      </c>
      <c r="E35" s="15" t="e">
        <f t="shared" si="3"/>
        <v>#DIV/0!</v>
      </c>
      <c r="F35" s="15" t="e">
        <f>ROUND(D34*ROUND(((1+'CALCULADORA TIPS E-6'!$C$14)^(1/12)-1),6),6)</f>
        <v>#DIV/0!</v>
      </c>
      <c r="G35" s="15" t="e">
        <f t="shared" si="4"/>
        <v>#DIV/0!</v>
      </c>
      <c r="H35" s="28">
        <f>IF($B35=0,0,G35/POWER(1+'CALCULADORA TIPS E-6'!$F$11,'Flujos Mensuales'!$B35/365))</f>
        <v>0</v>
      </c>
      <c r="I35" s="30">
        <f t="shared" si="1"/>
        <v>39346</v>
      </c>
      <c r="J35" s="25">
        <v>33</v>
      </c>
      <c r="K35" s="12">
        <f t="shared" si="5"/>
        <v>1004</v>
      </c>
      <c r="L35" s="96" t="e">
        <f t="shared" si="6"/>
        <v>#DIV/0!</v>
      </c>
      <c r="M35" s="93" t="e">
        <f t="shared" si="7"/>
        <v>#DIV/0!</v>
      </c>
      <c r="N35" s="93" t="e">
        <f t="shared" si="8"/>
        <v>#DIV/0!</v>
      </c>
      <c r="O35" s="94" t="e">
        <f t="shared" si="9"/>
        <v>#DIV/0!</v>
      </c>
    </row>
    <row r="36" spans="1:15" ht="12.75">
      <c r="A36" s="4">
        <f t="shared" si="10"/>
        <v>39376</v>
      </c>
      <c r="B36" s="9">
        <f>IF(DIAS365('CALCULADORA TIPS E-6'!$E$6,A36)&lt;0,0,DIAS365('CALCULADORA TIPS E-6'!$E$6,A36))</f>
        <v>0</v>
      </c>
      <c r="C36" s="5">
        <f>+HLOOKUP('CALCULADORA TIPS E-6'!$E$4,Tablas!$B$1:$D$181,'Flujos Mensuales'!J36+1,FALSE)</f>
        <v>0</v>
      </c>
      <c r="D36" s="14" t="e">
        <f t="shared" si="2"/>
        <v>#DIV/0!</v>
      </c>
      <c r="E36" s="15" t="e">
        <f t="shared" si="3"/>
        <v>#DIV/0!</v>
      </c>
      <c r="F36" s="15" t="e">
        <f>ROUND(D35*ROUND(((1+'CALCULADORA TIPS E-6'!$C$14)^(1/12)-1),6),6)</f>
        <v>#DIV/0!</v>
      </c>
      <c r="G36" s="15" t="e">
        <f t="shared" si="4"/>
        <v>#DIV/0!</v>
      </c>
      <c r="H36" s="28">
        <f>IF($B36=0,0,G36/POWER(1+'CALCULADORA TIPS E-6'!$F$11,'Flujos Mensuales'!$B36/365))</f>
        <v>0</v>
      </c>
      <c r="I36" s="30">
        <f t="shared" si="1"/>
        <v>39376</v>
      </c>
      <c r="J36" s="25">
        <v>34</v>
      </c>
      <c r="K36" s="12">
        <f t="shared" si="5"/>
        <v>1034</v>
      </c>
      <c r="L36" s="96" t="e">
        <f t="shared" si="6"/>
        <v>#DIV/0!</v>
      </c>
      <c r="M36" s="93" t="e">
        <f t="shared" si="7"/>
        <v>#DIV/0!</v>
      </c>
      <c r="N36" s="93" t="e">
        <f t="shared" si="8"/>
        <v>#DIV/0!</v>
      </c>
      <c r="O36" s="94" t="e">
        <f t="shared" si="9"/>
        <v>#DIV/0!</v>
      </c>
    </row>
    <row r="37" spans="1:15" ht="12.75">
      <c r="A37" s="4">
        <f t="shared" si="10"/>
        <v>39407</v>
      </c>
      <c r="B37" s="9">
        <f>IF(DIAS365('CALCULADORA TIPS E-6'!$E$6,A37)&lt;0,0,DIAS365('CALCULADORA TIPS E-6'!$E$6,A37))</f>
        <v>0</v>
      </c>
      <c r="C37" s="5">
        <f>+HLOOKUP('CALCULADORA TIPS E-6'!$E$4,Tablas!$B$1:$D$181,'Flujos Mensuales'!J37+1,FALSE)</f>
        <v>0</v>
      </c>
      <c r="D37" s="14" t="e">
        <f t="shared" si="2"/>
        <v>#DIV/0!</v>
      </c>
      <c r="E37" s="15" t="e">
        <f t="shared" si="3"/>
        <v>#DIV/0!</v>
      </c>
      <c r="F37" s="15" t="e">
        <f>ROUND(D36*ROUND(((1+'CALCULADORA TIPS E-6'!$C$14)^(1/12)-1),6),6)</f>
        <v>#DIV/0!</v>
      </c>
      <c r="G37" s="15" t="e">
        <f t="shared" si="4"/>
        <v>#DIV/0!</v>
      </c>
      <c r="H37" s="28">
        <f>IF($B37=0,0,G37/POWER(1+'CALCULADORA TIPS E-6'!$F$11,'Flujos Mensuales'!$B37/365))</f>
        <v>0</v>
      </c>
      <c r="I37" s="30">
        <f t="shared" si="1"/>
        <v>39407</v>
      </c>
      <c r="J37" s="25">
        <v>35</v>
      </c>
      <c r="K37" s="12">
        <f t="shared" si="5"/>
        <v>1065</v>
      </c>
      <c r="L37" s="96" t="e">
        <f t="shared" si="6"/>
        <v>#DIV/0!</v>
      </c>
      <c r="M37" s="93" t="e">
        <f t="shared" si="7"/>
        <v>#DIV/0!</v>
      </c>
      <c r="N37" s="93" t="e">
        <f t="shared" si="8"/>
        <v>#DIV/0!</v>
      </c>
      <c r="O37" s="94" t="e">
        <f t="shared" si="9"/>
        <v>#DIV/0!</v>
      </c>
    </row>
    <row r="38" spans="1:15" ht="12.75">
      <c r="A38" s="4">
        <f t="shared" si="10"/>
        <v>39437</v>
      </c>
      <c r="B38" s="9">
        <f>IF(DIAS365('CALCULADORA TIPS E-6'!$E$6,A38)&lt;0,0,DIAS365('CALCULADORA TIPS E-6'!$E$6,A38))</f>
        <v>0</v>
      </c>
      <c r="C38" s="5">
        <f>+HLOOKUP('CALCULADORA TIPS E-6'!$E$4,Tablas!$B$1:$D$181,'Flujos Mensuales'!J38+1,FALSE)</f>
        <v>0</v>
      </c>
      <c r="D38" s="14" t="e">
        <f t="shared" si="2"/>
        <v>#DIV/0!</v>
      </c>
      <c r="E38" s="15" t="e">
        <f t="shared" si="3"/>
        <v>#DIV/0!</v>
      </c>
      <c r="F38" s="15" t="e">
        <f>ROUND(D37*ROUND(((1+'CALCULADORA TIPS E-6'!$C$14)^(1/12)-1),6),6)</f>
        <v>#DIV/0!</v>
      </c>
      <c r="G38" s="15" t="e">
        <f t="shared" si="4"/>
        <v>#DIV/0!</v>
      </c>
      <c r="H38" s="28">
        <f>IF($B38=0,0,G38/POWER(1+'CALCULADORA TIPS E-6'!$F$11,'Flujos Mensuales'!$B38/365))</f>
        <v>0</v>
      </c>
      <c r="I38" s="30">
        <f t="shared" si="1"/>
        <v>39437</v>
      </c>
      <c r="J38" s="25">
        <v>36</v>
      </c>
      <c r="K38" s="12">
        <f t="shared" si="5"/>
        <v>1095</v>
      </c>
      <c r="L38" s="96" t="e">
        <f t="shared" si="6"/>
        <v>#DIV/0!</v>
      </c>
      <c r="M38" s="93" t="e">
        <f t="shared" si="7"/>
        <v>#DIV/0!</v>
      </c>
      <c r="N38" s="93" t="e">
        <f t="shared" si="8"/>
        <v>#DIV/0!</v>
      </c>
      <c r="O38" s="94" t="e">
        <f t="shared" si="9"/>
        <v>#DIV/0!</v>
      </c>
    </row>
    <row r="39" spans="1:15" ht="12.75">
      <c r="A39" s="4">
        <f t="shared" si="10"/>
        <v>39468</v>
      </c>
      <c r="B39" s="9">
        <f>IF(DIAS365('CALCULADORA TIPS E-6'!$E$6,A39)&lt;0,0,DIAS365('CALCULADORA TIPS E-6'!$E$6,A39))</f>
        <v>0</v>
      </c>
      <c r="C39" s="5">
        <f>+HLOOKUP('CALCULADORA TIPS E-6'!$E$4,Tablas!$B$1:$D$181,'Flujos Mensuales'!J39+1,FALSE)</f>
        <v>0</v>
      </c>
      <c r="D39" s="14" t="e">
        <f t="shared" si="2"/>
        <v>#DIV/0!</v>
      </c>
      <c r="E39" s="15" t="e">
        <f t="shared" si="3"/>
        <v>#DIV/0!</v>
      </c>
      <c r="F39" s="15" t="e">
        <f>ROUND(D38*ROUND(((1+'CALCULADORA TIPS E-6'!$C$14)^(1/12)-1),6),6)</f>
        <v>#DIV/0!</v>
      </c>
      <c r="G39" s="15" t="e">
        <f t="shared" si="4"/>
        <v>#DIV/0!</v>
      </c>
      <c r="H39" s="28">
        <f>IF($B39=0,0,G39/POWER(1+'CALCULADORA TIPS E-6'!$F$11,'Flujos Mensuales'!$B39/365))</f>
        <v>0</v>
      </c>
      <c r="I39" s="30">
        <f t="shared" si="1"/>
        <v>39468</v>
      </c>
      <c r="J39" s="25">
        <v>37</v>
      </c>
      <c r="K39" s="12">
        <f t="shared" si="5"/>
        <v>1126</v>
      </c>
      <c r="L39" s="96" t="e">
        <f t="shared" si="6"/>
        <v>#DIV/0!</v>
      </c>
      <c r="M39" s="93" t="e">
        <f t="shared" si="7"/>
        <v>#DIV/0!</v>
      </c>
      <c r="N39" s="93" t="e">
        <f t="shared" si="8"/>
        <v>#DIV/0!</v>
      </c>
      <c r="O39" s="94" t="e">
        <f t="shared" si="9"/>
        <v>#DIV/0!</v>
      </c>
    </row>
    <row r="40" spans="1:15" ht="12.75">
      <c r="A40" s="4">
        <f t="shared" si="10"/>
        <v>39499</v>
      </c>
      <c r="B40" s="9">
        <f>IF(DIAS365('CALCULADORA TIPS E-6'!$E$6,A40)&lt;0,0,DIAS365('CALCULADORA TIPS E-6'!$E$6,A40))</f>
        <v>0</v>
      </c>
      <c r="C40" s="5">
        <f>+HLOOKUP('CALCULADORA TIPS E-6'!$E$4,Tablas!$B$1:$D$181,'Flujos Mensuales'!J40+1,FALSE)</f>
        <v>0</v>
      </c>
      <c r="D40" s="14" t="e">
        <f t="shared" si="2"/>
        <v>#DIV/0!</v>
      </c>
      <c r="E40" s="15" t="e">
        <f t="shared" si="3"/>
        <v>#DIV/0!</v>
      </c>
      <c r="F40" s="15" t="e">
        <f>ROUND(D39*ROUND(((1+'CALCULADORA TIPS E-6'!$C$14)^(1/12)-1),6),6)</f>
        <v>#DIV/0!</v>
      </c>
      <c r="G40" s="15" t="e">
        <f t="shared" si="4"/>
        <v>#DIV/0!</v>
      </c>
      <c r="H40" s="28">
        <f>IF($B40=0,0,G40/POWER(1+'CALCULADORA TIPS E-6'!$F$11,'Flujos Mensuales'!$B40/365))</f>
        <v>0</v>
      </c>
      <c r="I40" s="30">
        <f t="shared" si="1"/>
        <v>39499</v>
      </c>
      <c r="J40" s="25">
        <v>38</v>
      </c>
      <c r="K40" s="12">
        <f t="shared" si="5"/>
        <v>1157</v>
      </c>
      <c r="L40" s="96" t="e">
        <f t="shared" si="6"/>
        <v>#DIV/0!</v>
      </c>
      <c r="M40" s="93" t="e">
        <f t="shared" si="7"/>
        <v>#DIV/0!</v>
      </c>
      <c r="N40" s="93" t="e">
        <f t="shared" si="8"/>
        <v>#DIV/0!</v>
      </c>
      <c r="O40" s="94" t="e">
        <f t="shared" si="9"/>
        <v>#DIV/0!</v>
      </c>
    </row>
    <row r="41" spans="1:15" ht="12.75">
      <c r="A41" s="4">
        <f t="shared" si="10"/>
        <v>39528</v>
      </c>
      <c r="B41" s="9">
        <f>IF(DIAS365('CALCULADORA TIPS E-6'!$E$6,A41)&lt;0,0,DIAS365('CALCULADORA TIPS E-6'!$E$6,A41))</f>
        <v>0</v>
      </c>
      <c r="C41" s="5">
        <f>+HLOOKUP('CALCULADORA TIPS E-6'!$E$4,Tablas!$B$1:$D$181,'Flujos Mensuales'!J41+1,FALSE)</f>
        <v>0</v>
      </c>
      <c r="D41" s="14" t="e">
        <f t="shared" si="2"/>
        <v>#DIV/0!</v>
      </c>
      <c r="E41" s="15" t="e">
        <f t="shared" si="3"/>
        <v>#DIV/0!</v>
      </c>
      <c r="F41" s="15" t="e">
        <f>ROUND(D40*ROUND(((1+'CALCULADORA TIPS E-6'!$C$14)^(1/12)-1),6),6)</f>
        <v>#DIV/0!</v>
      </c>
      <c r="G41" s="15" t="e">
        <f t="shared" si="4"/>
        <v>#DIV/0!</v>
      </c>
      <c r="H41" s="28">
        <f>IF($B41=0,0,G41/POWER(1+'CALCULADORA TIPS E-6'!$F$11,'Flujos Mensuales'!$B41/365))</f>
        <v>0</v>
      </c>
      <c r="I41" s="30">
        <f t="shared" si="1"/>
        <v>39528</v>
      </c>
      <c r="J41" s="25">
        <v>39</v>
      </c>
      <c r="K41" s="12">
        <f t="shared" si="5"/>
        <v>1185</v>
      </c>
      <c r="L41" s="96" t="e">
        <f t="shared" si="6"/>
        <v>#DIV/0!</v>
      </c>
      <c r="M41" s="93" t="e">
        <f t="shared" si="7"/>
        <v>#DIV/0!</v>
      </c>
      <c r="N41" s="93" t="e">
        <f t="shared" si="8"/>
        <v>#DIV/0!</v>
      </c>
      <c r="O41" s="94" t="e">
        <f t="shared" si="9"/>
        <v>#DIV/0!</v>
      </c>
    </row>
    <row r="42" spans="1:15" ht="12.75">
      <c r="A42" s="4">
        <f t="shared" si="10"/>
        <v>39559</v>
      </c>
      <c r="B42" s="9">
        <f>IF(DIAS365('CALCULADORA TIPS E-6'!$E$6,A42)&lt;0,0,DIAS365('CALCULADORA TIPS E-6'!$E$6,A42))</f>
        <v>0</v>
      </c>
      <c r="C42" s="5">
        <f>+HLOOKUP('CALCULADORA TIPS E-6'!$E$4,Tablas!$B$1:$D$181,'Flujos Mensuales'!J42+1,FALSE)</f>
        <v>0</v>
      </c>
      <c r="D42" s="14" t="e">
        <f t="shared" si="2"/>
        <v>#DIV/0!</v>
      </c>
      <c r="E42" s="15" t="e">
        <f t="shared" si="3"/>
        <v>#DIV/0!</v>
      </c>
      <c r="F42" s="15" t="e">
        <f>ROUND(D41*ROUND(((1+'CALCULADORA TIPS E-6'!$C$14)^(1/12)-1),6),6)</f>
        <v>#DIV/0!</v>
      </c>
      <c r="G42" s="15" t="e">
        <f t="shared" si="4"/>
        <v>#DIV/0!</v>
      </c>
      <c r="H42" s="28">
        <f>IF($B42=0,0,G42/POWER(1+'CALCULADORA TIPS E-6'!$F$11,'Flujos Mensuales'!$B42/365))</f>
        <v>0</v>
      </c>
      <c r="I42" s="30">
        <f t="shared" si="1"/>
        <v>39559</v>
      </c>
      <c r="J42" s="25">
        <v>40</v>
      </c>
      <c r="K42" s="12">
        <f t="shared" si="5"/>
        <v>1216</v>
      </c>
      <c r="L42" s="96" t="e">
        <f t="shared" si="6"/>
        <v>#DIV/0!</v>
      </c>
      <c r="M42" s="93" t="e">
        <f t="shared" si="7"/>
        <v>#DIV/0!</v>
      </c>
      <c r="N42" s="93" t="e">
        <f t="shared" si="8"/>
        <v>#DIV/0!</v>
      </c>
      <c r="O42" s="94" t="e">
        <f t="shared" si="9"/>
        <v>#DIV/0!</v>
      </c>
    </row>
    <row r="43" spans="1:15" ht="12.75">
      <c r="A43" s="4">
        <f t="shared" si="10"/>
        <v>39589</v>
      </c>
      <c r="B43" s="9">
        <f>IF(DIAS365('CALCULADORA TIPS E-6'!$E$6,A43)&lt;0,0,DIAS365('CALCULADORA TIPS E-6'!$E$6,A43))</f>
        <v>0</v>
      </c>
      <c r="C43" s="5">
        <f>+HLOOKUP('CALCULADORA TIPS E-6'!$E$4,Tablas!$B$1:$D$181,'Flujos Mensuales'!J43+1,FALSE)</f>
        <v>0</v>
      </c>
      <c r="D43" s="14" t="e">
        <f t="shared" si="2"/>
        <v>#DIV/0!</v>
      </c>
      <c r="E43" s="15" t="e">
        <f t="shared" si="3"/>
        <v>#DIV/0!</v>
      </c>
      <c r="F43" s="15" t="e">
        <f>ROUND(D42*ROUND(((1+'CALCULADORA TIPS E-6'!$C$14)^(1/12)-1),6),6)</f>
        <v>#DIV/0!</v>
      </c>
      <c r="G43" s="15" t="e">
        <f t="shared" si="4"/>
        <v>#DIV/0!</v>
      </c>
      <c r="H43" s="28">
        <f>IF($B43=0,0,G43/POWER(1+'CALCULADORA TIPS E-6'!$F$11,'Flujos Mensuales'!$B43/365))</f>
        <v>0</v>
      </c>
      <c r="I43" s="30">
        <f t="shared" si="1"/>
        <v>39589</v>
      </c>
      <c r="J43" s="25">
        <v>41</v>
      </c>
      <c r="K43" s="12">
        <f t="shared" si="5"/>
        <v>1246</v>
      </c>
      <c r="L43" s="96" t="e">
        <f t="shared" si="6"/>
        <v>#DIV/0!</v>
      </c>
      <c r="M43" s="93" t="e">
        <f t="shared" si="7"/>
        <v>#DIV/0!</v>
      </c>
      <c r="N43" s="93" t="e">
        <f t="shared" si="8"/>
        <v>#DIV/0!</v>
      </c>
      <c r="O43" s="94" t="e">
        <f t="shared" si="9"/>
        <v>#DIV/0!</v>
      </c>
    </row>
    <row r="44" spans="1:15" ht="12.75">
      <c r="A44" s="4">
        <f t="shared" si="10"/>
        <v>39620</v>
      </c>
      <c r="B44" s="9">
        <f>IF(DIAS365('CALCULADORA TIPS E-6'!$E$6,A44)&lt;0,0,DIAS365('CALCULADORA TIPS E-6'!$E$6,A44))</f>
        <v>0</v>
      </c>
      <c r="C44" s="5">
        <f>+HLOOKUP('CALCULADORA TIPS E-6'!$E$4,Tablas!$B$1:$D$181,'Flujos Mensuales'!J44+1,FALSE)</f>
        <v>0</v>
      </c>
      <c r="D44" s="14" t="e">
        <f t="shared" si="2"/>
        <v>#DIV/0!</v>
      </c>
      <c r="E44" s="15" t="e">
        <f t="shared" si="3"/>
        <v>#DIV/0!</v>
      </c>
      <c r="F44" s="15" t="e">
        <f>ROUND(D43*ROUND(((1+'CALCULADORA TIPS E-6'!$C$14)^(1/12)-1),6),6)</f>
        <v>#DIV/0!</v>
      </c>
      <c r="G44" s="15" t="e">
        <f t="shared" si="4"/>
        <v>#DIV/0!</v>
      </c>
      <c r="H44" s="28">
        <f>IF($B44=0,0,G44/POWER(1+'CALCULADORA TIPS E-6'!$F$11,'Flujos Mensuales'!$B44/365))</f>
        <v>0</v>
      </c>
      <c r="I44" s="30">
        <f t="shared" si="1"/>
        <v>39620</v>
      </c>
      <c r="J44" s="25">
        <v>42</v>
      </c>
      <c r="K44" s="12">
        <f t="shared" si="5"/>
        <v>1277</v>
      </c>
      <c r="L44" s="96" t="e">
        <f t="shared" si="6"/>
        <v>#DIV/0!</v>
      </c>
      <c r="M44" s="93" t="e">
        <f t="shared" si="7"/>
        <v>#DIV/0!</v>
      </c>
      <c r="N44" s="93" t="e">
        <f t="shared" si="8"/>
        <v>#DIV/0!</v>
      </c>
      <c r="O44" s="94" t="e">
        <f t="shared" si="9"/>
        <v>#DIV/0!</v>
      </c>
    </row>
    <row r="45" spans="1:15" ht="12.75">
      <c r="A45" s="4">
        <f t="shared" si="10"/>
        <v>39650</v>
      </c>
      <c r="B45" s="9">
        <f>IF(DIAS365('CALCULADORA TIPS E-6'!$E$6,A45)&lt;0,0,DIAS365('CALCULADORA TIPS E-6'!$E$6,A45))</f>
        <v>0</v>
      </c>
      <c r="C45" s="5">
        <f>+HLOOKUP('CALCULADORA TIPS E-6'!$E$4,Tablas!$B$1:$D$181,'Flujos Mensuales'!J45+1,FALSE)</f>
        <v>0</v>
      </c>
      <c r="D45" s="14" t="e">
        <f t="shared" si="2"/>
        <v>#DIV/0!</v>
      </c>
      <c r="E45" s="15" t="e">
        <f t="shared" si="3"/>
        <v>#DIV/0!</v>
      </c>
      <c r="F45" s="15" t="e">
        <f>ROUND(D44*ROUND(((1+'CALCULADORA TIPS E-6'!$C$14)^(1/12)-1),6),6)</f>
        <v>#DIV/0!</v>
      </c>
      <c r="G45" s="15" t="e">
        <f t="shared" si="4"/>
        <v>#DIV/0!</v>
      </c>
      <c r="H45" s="28">
        <f>IF($B45=0,0,G45/POWER(1+'CALCULADORA TIPS E-6'!$F$11,'Flujos Mensuales'!$B45/365))</f>
        <v>0</v>
      </c>
      <c r="I45" s="30">
        <f t="shared" si="1"/>
        <v>39650</v>
      </c>
      <c r="J45" s="25">
        <v>43</v>
      </c>
      <c r="K45" s="12">
        <f t="shared" si="5"/>
        <v>1307</v>
      </c>
      <c r="L45" s="96" t="e">
        <f t="shared" si="6"/>
        <v>#DIV/0!</v>
      </c>
      <c r="M45" s="93" t="e">
        <f t="shared" si="7"/>
        <v>#DIV/0!</v>
      </c>
      <c r="N45" s="93" t="e">
        <f t="shared" si="8"/>
        <v>#DIV/0!</v>
      </c>
      <c r="O45" s="94" t="e">
        <f t="shared" si="9"/>
        <v>#DIV/0!</v>
      </c>
    </row>
    <row r="46" spans="1:15" ht="12.75">
      <c r="A46" s="4">
        <f t="shared" si="10"/>
        <v>39681</v>
      </c>
      <c r="B46" s="9">
        <f>IF(DIAS365('CALCULADORA TIPS E-6'!$E$6,A46)&lt;0,0,DIAS365('CALCULADORA TIPS E-6'!$E$6,A46))</f>
        <v>0</v>
      </c>
      <c r="C46" s="5">
        <f>+HLOOKUP('CALCULADORA TIPS E-6'!$E$4,Tablas!$B$1:$D$181,'Flujos Mensuales'!J46+1,FALSE)</f>
        <v>0</v>
      </c>
      <c r="D46" s="14" t="e">
        <f t="shared" si="2"/>
        <v>#DIV/0!</v>
      </c>
      <c r="E46" s="15" t="e">
        <f t="shared" si="3"/>
        <v>#DIV/0!</v>
      </c>
      <c r="F46" s="15" t="e">
        <f>ROUND(D45*ROUND(((1+'CALCULADORA TIPS E-6'!$C$14)^(1/12)-1),6),6)</f>
        <v>#DIV/0!</v>
      </c>
      <c r="G46" s="15" t="e">
        <f t="shared" si="4"/>
        <v>#DIV/0!</v>
      </c>
      <c r="H46" s="28">
        <f>IF($B46=0,0,G46/POWER(1+'CALCULADORA TIPS E-6'!$F$11,'Flujos Mensuales'!$B46/365))</f>
        <v>0</v>
      </c>
      <c r="I46" s="30">
        <f t="shared" si="1"/>
        <v>39681</v>
      </c>
      <c r="J46" s="25">
        <v>44</v>
      </c>
      <c r="K46" s="12">
        <f t="shared" si="5"/>
        <v>1338</v>
      </c>
      <c r="L46" s="96" t="e">
        <f t="shared" si="6"/>
        <v>#DIV/0!</v>
      </c>
      <c r="M46" s="93" t="e">
        <f t="shared" si="7"/>
        <v>#DIV/0!</v>
      </c>
      <c r="N46" s="93" t="e">
        <f t="shared" si="8"/>
        <v>#DIV/0!</v>
      </c>
      <c r="O46" s="94" t="e">
        <f t="shared" si="9"/>
        <v>#DIV/0!</v>
      </c>
    </row>
    <row r="47" spans="1:15" ht="12.75">
      <c r="A47" s="4">
        <f t="shared" si="10"/>
        <v>39712</v>
      </c>
      <c r="B47" s="9">
        <f>IF(DIAS365('CALCULADORA TIPS E-6'!$E$6,A47)&lt;0,0,DIAS365('CALCULADORA TIPS E-6'!$E$6,A47))</f>
        <v>0</v>
      </c>
      <c r="C47" s="5">
        <f>+HLOOKUP('CALCULADORA TIPS E-6'!$E$4,Tablas!$B$1:$D$181,'Flujos Mensuales'!J47+1,FALSE)</f>
        <v>0</v>
      </c>
      <c r="D47" s="14" t="e">
        <f t="shared" si="2"/>
        <v>#DIV/0!</v>
      </c>
      <c r="E47" s="15" t="e">
        <f t="shared" si="3"/>
        <v>#DIV/0!</v>
      </c>
      <c r="F47" s="15" t="e">
        <f>ROUND(D46*ROUND(((1+'CALCULADORA TIPS E-6'!$C$14)^(1/12)-1),6),6)</f>
        <v>#DIV/0!</v>
      </c>
      <c r="G47" s="15" t="e">
        <f t="shared" si="4"/>
        <v>#DIV/0!</v>
      </c>
      <c r="H47" s="28">
        <f>IF($B47=0,0,G47/POWER(1+'CALCULADORA TIPS E-6'!$F$11,'Flujos Mensuales'!$B47/365))</f>
        <v>0</v>
      </c>
      <c r="I47" s="30">
        <f t="shared" si="1"/>
        <v>39712</v>
      </c>
      <c r="J47" s="25">
        <v>45</v>
      </c>
      <c r="K47" s="12">
        <f t="shared" si="5"/>
        <v>1369</v>
      </c>
      <c r="L47" s="96" t="e">
        <f t="shared" si="6"/>
        <v>#DIV/0!</v>
      </c>
      <c r="M47" s="93" t="e">
        <f t="shared" si="7"/>
        <v>#DIV/0!</v>
      </c>
      <c r="N47" s="93" t="e">
        <f t="shared" si="8"/>
        <v>#DIV/0!</v>
      </c>
      <c r="O47" s="94" t="e">
        <f t="shared" si="9"/>
        <v>#DIV/0!</v>
      </c>
    </row>
    <row r="48" spans="1:15" ht="12.75">
      <c r="A48" s="4">
        <f t="shared" si="10"/>
        <v>39742</v>
      </c>
      <c r="B48" s="9">
        <f>IF(DIAS365('CALCULADORA TIPS E-6'!$E$6,A48)&lt;0,0,DIAS365('CALCULADORA TIPS E-6'!$E$6,A48))</f>
        <v>0</v>
      </c>
      <c r="C48" s="5">
        <f>+HLOOKUP('CALCULADORA TIPS E-6'!$E$4,Tablas!$B$1:$D$181,'Flujos Mensuales'!J48+1,FALSE)</f>
        <v>0</v>
      </c>
      <c r="D48" s="14" t="e">
        <f t="shared" si="2"/>
        <v>#DIV/0!</v>
      </c>
      <c r="E48" s="15" t="e">
        <f t="shared" si="3"/>
        <v>#DIV/0!</v>
      </c>
      <c r="F48" s="15" t="e">
        <f>ROUND(D47*ROUND(((1+'CALCULADORA TIPS E-6'!$C$14)^(1/12)-1),6),6)</f>
        <v>#DIV/0!</v>
      </c>
      <c r="G48" s="15" t="e">
        <f t="shared" si="4"/>
        <v>#DIV/0!</v>
      </c>
      <c r="H48" s="28">
        <f>IF($B48=0,0,G48/POWER(1+'CALCULADORA TIPS E-6'!$F$11,'Flujos Mensuales'!$B48/365))</f>
        <v>0</v>
      </c>
      <c r="I48" s="30">
        <f t="shared" si="1"/>
        <v>39742</v>
      </c>
      <c r="J48" s="25">
        <v>46</v>
      </c>
      <c r="K48" s="12">
        <f t="shared" si="5"/>
        <v>1399</v>
      </c>
      <c r="L48" s="96" t="e">
        <f t="shared" si="6"/>
        <v>#DIV/0!</v>
      </c>
      <c r="M48" s="93" t="e">
        <f t="shared" si="7"/>
        <v>#DIV/0!</v>
      </c>
      <c r="N48" s="93" t="e">
        <f t="shared" si="8"/>
        <v>#DIV/0!</v>
      </c>
      <c r="O48" s="94" t="e">
        <f t="shared" si="9"/>
        <v>#DIV/0!</v>
      </c>
    </row>
    <row r="49" spans="1:15" ht="12.75">
      <c r="A49" s="4">
        <f t="shared" si="10"/>
        <v>39773</v>
      </c>
      <c r="B49" s="9">
        <f>IF(DIAS365('CALCULADORA TIPS E-6'!$E$6,A49)&lt;0,0,DIAS365('CALCULADORA TIPS E-6'!$E$6,A49))</f>
        <v>0</v>
      </c>
      <c r="C49" s="5">
        <f>+HLOOKUP('CALCULADORA TIPS E-6'!$E$4,Tablas!$B$1:$D$181,'Flujos Mensuales'!J49+1,FALSE)</f>
        <v>0</v>
      </c>
      <c r="D49" s="14" t="e">
        <f t="shared" si="2"/>
        <v>#DIV/0!</v>
      </c>
      <c r="E49" s="15" t="e">
        <f t="shared" si="3"/>
        <v>#DIV/0!</v>
      </c>
      <c r="F49" s="15" t="e">
        <f>ROUND(D48*ROUND(((1+'CALCULADORA TIPS E-6'!$C$14)^(1/12)-1),6),6)</f>
        <v>#DIV/0!</v>
      </c>
      <c r="G49" s="15" t="e">
        <f t="shared" si="4"/>
        <v>#DIV/0!</v>
      </c>
      <c r="H49" s="28">
        <f>IF($B49=0,0,G49/POWER(1+'CALCULADORA TIPS E-6'!$F$11,'Flujos Mensuales'!$B49/365))</f>
        <v>0</v>
      </c>
      <c r="I49" s="30">
        <f t="shared" si="1"/>
        <v>39773</v>
      </c>
      <c r="J49" s="25">
        <v>47</v>
      </c>
      <c r="K49" s="12">
        <f t="shared" si="5"/>
        <v>1430</v>
      </c>
      <c r="L49" s="96" t="e">
        <f t="shared" si="6"/>
        <v>#DIV/0!</v>
      </c>
      <c r="M49" s="93" t="e">
        <f t="shared" si="7"/>
        <v>#DIV/0!</v>
      </c>
      <c r="N49" s="93" t="e">
        <f t="shared" si="8"/>
        <v>#DIV/0!</v>
      </c>
      <c r="O49" s="94" t="e">
        <f t="shared" si="9"/>
        <v>#DIV/0!</v>
      </c>
    </row>
    <row r="50" spans="1:15" ht="12.75">
      <c r="A50" s="4">
        <f t="shared" si="10"/>
        <v>39803</v>
      </c>
      <c r="B50" s="9">
        <f>IF(DIAS365('CALCULADORA TIPS E-6'!$E$6,A50)&lt;0,0,DIAS365('CALCULADORA TIPS E-6'!$E$6,A50))</f>
        <v>0</v>
      </c>
      <c r="C50" s="5">
        <f>+HLOOKUP('CALCULADORA TIPS E-6'!$E$4,Tablas!$B$1:$D$181,'Flujos Mensuales'!J50+1,FALSE)</f>
        <v>0</v>
      </c>
      <c r="D50" s="14" t="e">
        <f t="shared" si="2"/>
        <v>#DIV/0!</v>
      </c>
      <c r="E50" s="15" t="e">
        <f t="shared" si="3"/>
        <v>#DIV/0!</v>
      </c>
      <c r="F50" s="15" t="e">
        <f>ROUND(D49*ROUND(((1+'CALCULADORA TIPS E-6'!$C$14)^(1/12)-1),6),6)</f>
        <v>#DIV/0!</v>
      </c>
      <c r="G50" s="15" t="e">
        <f t="shared" si="4"/>
        <v>#DIV/0!</v>
      </c>
      <c r="H50" s="28">
        <f>IF($B50=0,0,G50/POWER(1+'CALCULADORA TIPS E-6'!$F$11,'Flujos Mensuales'!$B50/365))</f>
        <v>0</v>
      </c>
      <c r="I50" s="30">
        <f t="shared" si="1"/>
        <v>39803</v>
      </c>
      <c r="J50" s="25">
        <v>48</v>
      </c>
      <c r="K50" s="12">
        <f t="shared" si="5"/>
        <v>1460</v>
      </c>
      <c r="L50" s="96" t="e">
        <f t="shared" si="6"/>
        <v>#DIV/0!</v>
      </c>
      <c r="M50" s="93" t="e">
        <f t="shared" si="7"/>
        <v>#DIV/0!</v>
      </c>
      <c r="N50" s="93" t="e">
        <f t="shared" si="8"/>
        <v>#DIV/0!</v>
      </c>
      <c r="O50" s="94" t="e">
        <f t="shared" si="9"/>
        <v>#DIV/0!</v>
      </c>
    </row>
    <row r="51" spans="1:15" ht="12.75">
      <c r="A51" s="4">
        <f t="shared" si="10"/>
        <v>39834</v>
      </c>
      <c r="B51" s="9">
        <f>IF(DIAS365('CALCULADORA TIPS E-6'!$E$6,A51)&lt;0,0,DIAS365('CALCULADORA TIPS E-6'!$E$6,A51))</f>
        <v>0</v>
      </c>
      <c r="C51" s="5">
        <f>+HLOOKUP('CALCULADORA TIPS E-6'!$E$4,Tablas!$B$1:$D$181,'Flujos Mensuales'!J51+1,FALSE)</f>
        <v>0</v>
      </c>
      <c r="D51" s="14" t="e">
        <f t="shared" si="2"/>
        <v>#DIV/0!</v>
      </c>
      <c r="E51" s="15" t="e">
        <f t="shared" si="3"/>
        <v>#DIV/0!</v>
      </c>
      <c r="F51" s="15" t="e">
        <f>ROUND(D50*ROUND(((1+'CALCULADORA TIPS E-6'!$C$14)^(1/12)-1),6),6)</f>
        <v>#DIV/0!</v>
      </c>
      <c r="G51" s="15" t="e">
        <f t="shared" si="4"/>
        <v>#DIV/0!</v>
      </c>
      <c r="H51" s="28">
        <f>IF($B51=0,0,G51/POWER(1+'CALCULADORA TIPS E-6'!$F$11,'Flujos Mensuales'!$B51/365))</f>
        <v>0</v>
      </c>
      <c r="I51" s="30">
        <f t="shared" si="1"/>
        <v>39834</v>
      </c>
      <c r="J51" s="25">
        <v>49</v>
      </c>
      <c r="K51" s="12">
        <f t="shared" si="5"/>
        <v>1491</v>
      </c>
      <c r="L51" s="96" t="e">
        <f t="shared" si="6"/>
        <v>#DIV/0!</v>
      </c>
      <c r="M51" s="93" t="e">
        <f t="shared" si="7"/>
        <v>#DIV/0!</v>
      </c>
      <c r="N51" s="93" t="e">
        <f t="shared" si="8"/>
        <v>#DIV/0!</v>
      </c>
      <c r="O51" s="94" t="e">
        <f t="shared" si="9"/>
        <v>#DIV/0!</v>
      </c>
    </row>
    <row r="52" spans="1:15" ht="12.75">
      <c r="A52" s="4">
        <f t="shared" si="10"/>
        <v>39865</v>
      </c>
      <c r="B52" s="9">
        <f>IF(DIAS365('CALCULADORA TIPS E-6'!$E$6,A52)&lt;0,0,DIAS365('CALCULADORA TIPS E-6'!$E$6,A52))</f>
        <v>0</v>
      </c>
      <c r="C52" s="5">
        <f>+HLOOKUP('CALCULADORA TIPS E-6'!$E$4,Tablas!$B$1:$D$181,'Flujos Mensuales'!J52+1,FALSE)</f>
        <v>0</v>
      </c>
      <c r="D52" s="14" t="e">
        <f t="shared" si="2"/>
        <v>#DIV/0!</v>
      </c>
      <c r="E52" s="15" t="e">
        <f t="shared" si="3"/>
        <v>#DIV/0!</v>
      </c>
      <c r="F52" s="15" t="e">
        <f>ROUND(D51*ROUND(((1+'CALCULADORA TIPS E-6'!$C$14)^(1/12)-1),6),6)</f>
        <v>#DIV/0!</v>
      </c>
      <c r="G52" s="15" t="e">
        <f t="shared" si="4"/>
        <v>#DIV/0!</v>
      </c>
      <c r="H52" s="28">
        <f>IF($B52=0,0,G52/POWER(1+'CALCULADORA TIPS E-6'!$F$11,'Flujos Mensuales'!$B52/365))</f>
        <v>0</v>
      </c>
      <c r="I52" s="30">
        <f t="shared" si="1"/>
        <v>39865</v>
      </c>
      <c r="J52" s="25">
        <v>50</v>
      </c>
      <c r="K52" s="12">
        <f t="shared" si="5"/>
        <v>1522</v>
      </c>
      <c r="L52" s="96" t="e">
        <f t="shared" si="6"/>
        <v>#DIV/0!</v>
      </c>
      <c r="M52" s="93" t="e">
        <f t="shared" si="7"/>
        <v>#DIV/0!</v>
      </c>
      <c r="N52" s="93" t="e">
        <f t="shared" si="8"/>
        <v>#DIV/0!</v>
      </c>
      <c r="O52" s="94" t="e">
        <f t="shared" si="9"/>
        <v>#DIV/0!</v>
      </c>
    </row>
    <row r="53" spans="1:15" ht="12.75">
      <c r="A53" s="4">
        <f t="shared" si="10"/>
        <v>39893</v>
      </c>
      <c r="B53" s="9">
        <f>IF(DIAS365('CALCULADORA TIPS E-6'!$E$6,A53)&lt;0,0,DIAS365('CALCULADORA TIPS E-6'!$E$6,A53))</f>
        <v>0</v>
      </c>
      <c r="C53" s="5">
        <f>+HLOOKUP('CALCULADORA TIPS E-6'!$E$4,Tablas!$B$1:$D$181,'Flujos Mensuales'!J53+1,FALSE)</f>
        <v>0</v>
      </c>
      <c r="D53" s="14" t="e">
        <f t="shared" si="2"/>
        <v>#DIV/0!</v>
      </c>
      <c r="E53" s="15" t="e">
        <f t="shared" si="3"/>
        <v>#DIV/0!</v>
      </c>
      <c r="F53" s="15" t="e">
        <f>ROUND(D52*ROUND(((1+'CALCULADORA TIPS E-6'!$C$14)^(1/12)-1),6),6)</f>
        <v>#DIV/0!</v>
      </c>
      <c r="G53" s="15" t="e">
        <f t="shared" si="4"/>
        <v>#DIV/0!</v>
      </c>
      <c r="H53" s="28">
        <f>IF($B53=0,0,G53/POWER(1+'CALCULADORA TIPS E-6'!$F$11,'Flujos Mensuales'!$B53/365))</f>
        <v>0</v>
      </c>
      <c r="I53" s="30">
        <f t="shared" si="1"/>
        <v>39893</v>
      </c>
      <c r="J53" s="25">
        <v>51</v>
      </c>
      <c r="K53" s="12">
        <f t="shared" si="5"/>
        <v>1550</v>
      </c>
      <c r="L53" s="96" t="e">
        <f t="shared" si="6"/>
        <v>#DIV/0!</v>
      </c>
      <c r="M53" s="93" t="e">
        <f t="shared" si="7"/>
        <v>#DIV/0!</v>
      </c>
      <c r="N53" s="93" t="e">
        <f t="shared" si="8"/>
        <v>#DIV/0!</v>
      </c>
      <c r="O53" s="94" t="e">
        <f t="shared" si="9"/>
        <v>#DIV/0!</v>
      </c>
    </row>
    <row r="54" spans="1:15" ht="12.75">
      <c r="A54" s="4">
        <f t="shared" si="10"/>
        <v>39924</v>
      </c>
      <c r="B54" s="9">
        <f>IF(DIAS365('CALCULADORA TIPS E-6'!$E$6,A54)&lt;0,0,DIAS365('CALCULADORA TIPS E-6'!$E$6,A54))</f>
        <v>0</v>
      </c>
      <c r="C54" s="5">
        <f>+HLOOKUP('CALCULADORA TIPS E-6'!$E$4,Tablas!$B$1:$D$181,'Flujos Mensuales'!J54+1,FALSE)</f>
        <v>0</v>
      </c>
      <c r="D54" s="14" t="e">
        <f t="shared" si="2"/>
        <v>#DIV/0!</v>
      </c>
      <c r="E54" s="15" t="e">
        <f t="shared" si="3"/>
        <v>#DIV/0!</v>
      </c>
      <c r="F54" s="15" t="e">
        <f>ROUND(D53*ROUND(((1+'CALCULADORA TIPS E-6'!$C$14)^(1/12)-1),6),6)</f>
        <v>#DIV/0!</v>
      </c>
      <c r="G54" s="15" t="e">
        <f t="shared" si="4"/>
        <v>#DIV/0!</v>
      </c>
      <c r="H54" s="28">
        <f>IF($B54=0,0,G54/POWER(1+'CALCULADORA TIPS E-6'!$F$11,'Flujos Mensuales'!$B54/365))</f>
        <v>0</v>
      </c>
      <c r="I54" s="30">
        <f t="shared" si="1"/>
        <v>39924</v>
      </c>
      <c r="J54" s="25">
        <v>52</v>
      </c>
      <c r="K54" s="12">
        <f t="shared" si="5"/>
        <v>1581</v>
      </c>
      <c r="L54" s="96" t="e">
        <f t="shared" si="6"/>
        <v>#DIV/0!</v>
      </c>
      <c r="M54" s="93" t="e">
        <f t="shared" si="7"/>
        <v>#DIV/0!</v>
      </c>
      <c r="N54" s="93" t="e">
        <f t="shared" si="8"/>
        <v>#DIV/0!</v>
      </c>
      <c r="O54" s="94" t="e">
        <f t="shared" si="9"/>
        <v>#DIV/0!</v>
      </c>
    </row>
    <row r="55" spans="1:15" ht="12.75">
      <c r="A55" s="4">
        <f t="shared" si="10"/>
        <v>39954</v>
      </c>
      <c r="B55" s="9">
        <f>IF(DIAS365('CALCULADORA TIPS E-6'!$E$6,A55)&lt;0,0,DIAS365('CALCULADORA TIPS E-6'!$E$6,A55))</f>
        <v>0</v>
      </c>
      <c r="C55" s="5">
        <f>+HLOOKUP('CALCULADORA TIPS E-6'!$E$4,Tablas!$B$1:$D$181,'Flujos Mensuales'!J55+1,FALSE)</f>
        <v>0</v>
      </c>
      <c r="D55" s="14" t="e">
        <f t="shared" si="2"/>
        <v>#DIV/0!</v>
      </c>
      <c r="E55" s="15" t="e">
        <f t="shared" si="3"/>
        <v>#DIV/0!</v>
      </c>
      <c r="F55" s="15" t="e">
        <f>ROUND(D54*ROUND(((1+'CALCULADORA TIPS E-6'!$C$14)^(1/12)-1),6),6)</f>
        <v>#DIV/0!</v>
      </c>
      <c r="G55" s="15" t="e">
        <f t="shared" si="4"/>
        <v>#DIV/0!</v>
      </c>
      <c r="H55" s="28">
        <f>IF($B55=0,0,G55/POWER(1+'CALCULADORA TIPS E-6'!$F$11,'Flujos Mensuales'!$B55/365))</f>
        <v>0</v>
      </c>
      <c r="I55" s="30">
        <f t="shared" si="1"/>
        <v>39954</v>
      </c>
      <c r="J55" s="25">
        <v>53</v>
      </c>
      <c r="K55" s="12">
        <f t="shared" si="5"/>
        <v>1611</v>
      </c>
      <c r="L55" s="96" t="e">
        <f t="shared" si="6"/>
        <v>#DIV/0!</v>
      </c>
      <c r="M55" s="93" t="e">
        <f t="shared" si="7"/>
        <v>#DIV/0!</v>
      </c>
      <c r="N55" s="93" t="e">
        <f t="shared" si="8"/>
        <v>#DIV/0!</v>
      </c>
      <c r="O55" s="94" t="e">
        <f t="shared" si="9"/>
        <v>#DIV/0!</v>
      </c>
    </row>
    <row r="56" spans="1:15" ht="12.75">
      <c r="A56" s="4">
        <f t="shared" si="10"/>
        <v>39985</v>
      </c>
      <c r="B56" s="9">
        <f>IF(DIAS365('CALCULADORA TIPS E-6'!$E$6,A56)&lt;0,0,DIAS365('CALCULADORA TIPS E-6'!$E$6,A56))</f>
        <v>0</v>
      </c>
      <c r="C56" s="5">
        <f>+HLOOKUP('CALCULADORA TIPS E-6'!$E$4,Tablas!$B$1:$D$181,'Flujos Mensuales'!J56+1,FALSE)</f>
        <v>0</v>
      </c>
      <c r="D56" s="14" t="e">
        <f t="shared" si="2"/>
        <v>#DIV/0!</v>
      </c>
      <c r="E56" s="15" t="e">
        <f t="shared" si="3"/>
        <v>#DIV/0!</v>
      </c>
      <c r="F56" s="15" t="e">
        <f>ROUND(D55*ROUND(((1+'CALCULADORA TIPS E-6'!$C$14)^(1/12)-1),6),6)</f>
        <v>#DIV/0!</v>
      </c>
      <c r="G56" s="15" t="e">
        <f t="shared" si="4"/>
        <v>#DIV/0!</v>
      </c>
      <c r="H56" s="28">
        <f>IF($B56=0,0,G56/POWER(1+'CALCULADORA TIPS E-6'!$F$11,'Flujos Mensuales'!$B56/365))</f>
        <v>0</v>
      </c>
      <c r="I56" s="30">
        <f t="shared" si="1"/>
        <v>39985</v>
      </c>
      <c r="J56" s="25">
        <v>54</v>
      </c>
      <c r="K56" s="12">
        <f t="shared" si="5"/>
        <v>1642</v>
      </c>
      <c r="L56" s="96" t="e">
        <f t="shared" si="6"/>
        <v>#DIV/0!</v>
      </c>
      <c r="M56" s="93" t="e">
        <f t="shared" si="7"/>
        <v>#DIV/0!</v>
      </c>
      <c r="N56" s="93" t="e">
        <f t="shared" si="8"/>
        <v>#DIV/0!</v>
      </c>
      <c r="O56" s="94" t="e">
        <f t="shared" si="9"/>
        <v>#DIV/0!</v>
      </c>
    </row>
    <row r="57" spans="1:15" s="193" customFormat="1" ht="12.75">
      <c r="A57" s="181">
        <f t="shared" si="10"/>
        <v>40015</v>
      </c>
      <c r="B57" s="182">
        <f>IF(DIAS365('CALCULADORA TIPS E-6'!$E$6,A57)&lt;0,0,DIAS365('CALCULADORA TIPS E-6'!$E$6,A57))</f>
        <v>0</v>
      </c>
      <c r="C57" s="183">
        <f>+HLOOKUP('CALCULADORA TIPS E-6'!$E$4,Tablas!$B$1:$D$181,'Flujos Mensuales'!J57+1,FALSE)</f>
        <v>0.0143404</v>
      </c>
      <c r="D57" s="184" t="e">
        <f t="shared" si="2"/>
        <v>#DIV/0!</v>
      </c>
      <c r="E57" s="185" t="e">
        <f t="shared" si="3"/>
        <v>#DIV/0!</v>
      </c>
      <c r="F57" s="185" t="e">
        <f>ROUND(D56*ROUND(((1+'CALCULADORA TIPS E-6'!$C$14)^(1/12)-1),6),6)</f>
        <v>#DIV/0!</v>
      </c>
      <c r="G57" s="185" t="e">
        <f t="shared" si="4"/>
        <v>#DIV/0!</v>
      </c>
      <c r="H57" s="186">
        <f>IF($B57=0,0,G57/POWER(1+'CALCULADORA TIPS E-6'!$F$11,'Flujos Mensuales'!$B57/365))</f>
        <v>0</v>
      </c>
      <c r="I57" s="187">
        <f t="shared" si="1"/>
        <v>40015</v>
      </c>
      <c r="J57" s="188">
        <v>55</v>
      </c>
      <c r="K57" s="189">
        <f t="shared" si="5"/>
        <v>1672</v>
      </c>
      <c r="L57" s="190" t="e">
        <f t="shared" si="6"/>
        <v>#DIV/0!</v>
      </c>
      <c r="M57" s="191" t="e">
        <f t="shared" si="7"/>
        <v>#DIV/0!</v>
      </c>
      <c r="N57" s="191" t="e">
        <f t="shared" si="8"/>
        <v>#DIV/0!</v>
      </c>
      <c r="O57" s="192" t="e">
        <f t="shared" si="9"/>
        <v>#DIV/0!</v>
      </c>
    </row>
    <row r="58" spans="1:15" s="193" customFormat="1" ht="12.75">
      <c r="A58" s="181">
        <f t="shared" si="10"/>
        <v>40046</v>
      </c>
      <c r="B58" s="182">
        <f>IF(DIAS365('CALCULADORA TIPS E-6'!$E$6,A58)&lt;0,0,DIAS365('CALCULADORA TIPS E-6'!$E$6,A58))</f>
        <v>0</v>
      </c>
      <c r="C58" s="183">
        <f>+HLOOKUP('CALCULADORA TIPS E-6'!$E$4,Tablas!$B$1:$D$181,'Flujos Mensuales'!J58+1,FALSE)</f>
        <v>0.05479452</v>
      </c>
      <c r="D58" s="184" t="e">
        <f t="shared" si="2"/>
        <v>#DIV/0!</v>
      </c>
      <c r="E58" s="185" t="e">
        <f t="shared" si="3"/>
        <v>#DIV/0!</v>
      </c>
      <c r="F58" s="185" t="e">
        <f>ROUND(D57*ROUND(((1+'CALCULADORA TIPS E-6'!$C$14)^(1/12)-1),6),6)</f>
        <v>#DIV/0!</v>
      </c>
      <c r="G58" s="185" t="e">
        <f t="shared" si="4"/>
        <v>#DIV/0!</v>
      </c>
      <c r="H58" s="186">
        <f>IF($B58=0,0,G58/POWER(1+'CALCULADORA TIPS E-6'!$F$11,'Flujos Mensuales'!$B58/365))</f>
        <v>0</v>
      </c>
      <c r="I58" s="187">
        <f t="shared" si="1"/>
        <v>40046</v>
      </c>
      <c r="J58" s="188">
        <v>56</v>
      </c>
      <c r="K58" s="189">
        <f t="shared" si="5"/>
        <v>1703</v>
      </c>
      <c r="L58" s="190" t="e">
        <f t="shared" si="6"/>
        <v>#DIV/0!</v>
      </c>
      <c r="M58" s="191" t="e">
        <f t="shared" si="7"/>
        <v>#DIV/0!</v>
      </c>
      <c r="N58" s="191" t="e">
        <f t="shared" si="8"/>
        <v>#DIV/0!</v>
      </c>
      <c r="O58" s="192" t="e">
        <f t="shared" si="9"/>
        <v>#DIV/0!</v>
      </c>
    </row>
    <row r="59" spans="1:15" s="193" customFormat="1" ht="12.75">
      <c r="A59" s="181">
        <f t="shared" si="10"/>
        <v>40077</v>
      </c>
      <c r="B59" s="182">
        <f>IF(DIAS365('CALCULADORA TIPS E-6'!$E$6,A59)&lt;0,0,DIAS365('CALCULADORA TIPS E-6'!$E$6,A59))</f>
        <v>0</v>
      </c>
      <c r="C59" s="183">
        <f>+HLOOKUP('CALCULADORA TIPS E-6'!$E$4,Tablas!$B$1:$D$181,'Flujos Mensuales'!J59+1,FALSE)</f>
        <v>0.05028623</v>
      </c>
      <c r="D59" s="184" t="e">
        <f t="shared" si="2"/>
        <v>#DIV/0!</v>
      </c>
      <c r="E59" s="185" t="e">
        <f t="shared" si="3"/>
        <v>#DIV/0!</v>
      </c>
      <c r="F59" s="185" t="e">
        <f>ROUND(D58*ROUND(((1+'CALCULADORA TIPS E-6'!$C$14)^(1/12)-1),6),6)</f>
        <v>#DIV/0!</v>
      </c>
      <c r="G59" s="185" t="e">
        <f t="shared" si="4"/>
        <v>#DIV/0!</v>
      </c>
      <c r="H59" s="186">
        <f>IF($B59=0,0,G59/POWER(1+'CALCULADORA TIPS E-6'!$F$11,'Flujos Mensuales'!$B59/365))</f>
        <v>0</v>
      </c>
      <c r="I59" s="187">
        <f t="shared" si="1"/>
        <v>40077</v>
      </c>
      <c r="J59" s="188">
        <v>57</v>
      </c>
      <c r="K59" s="189">
        <f t="shared" si="5"/>
        <v>1734</v>
      </c>
      <c r="L59" s="190" t="e">
        <f t="shared" si="6"/>
        <v>#DIV/0!</v>
      </c>
      <c r="M59" s="191" t="e">
        <f t="shared" si="7"/>
        <v>#DIV/0!</v>
      </c>
      <c r="N59" s="191" t="e">
        <f t="shared" si="8"/>
        <v>#DIV/0!</v>
      </c>
      <c r="O59" s="192" t="e">
        <f t="shared" si="9"/>
        <v>#DIV/0!</v>
      </c>
    </row>
    <row r="60" spans="1:15" s="193" customFormat="1" ht="12.75">
      <c r="A60" s="181">
        <f t="shared" si="10"/>
        <v>40107</v>
      </c>
      <c r="B60" s="182">
        <f>IF(DIAS365('CALCULADORA TIPS E-6'!$E$6,A60)&lt;0,0,DIAS365('CALCULADORA TIPS E-6'!$E$6,A60))</f>
        <v>0</v>
      </c>
      <c r="C60" s="183">
        <f>+HLOOKUP('CALCULADORA TIPS E-6'!$E$4,Tablas!$B$1:$D$181,'Flujos Mensuales'!J60+1,FALSE)</f>
        <v>0.04870149</v>
      </c>
      <c r="D60" s="184" t="e">
        <f t="shared" si="2"/>
        <v>#DIV/0!</v>
      </c>
      <c r="E60" s="185" t="e">
        <f t="shared" si="3"/>
        <v>#DIV/0!</v>
      </c>
      <c r="F60" s="185" t="e">
        <f>ROUND(D59*ROUND(((1+'CALCULADORA TIPS E-6'!$C$14)^(1/12)-1),6),6)</f>
        <v>#DIV/0!</v>
      </c>
      <c r="G60" s="185" t="e">
        <f t="shared" si="4"/>
        <v>#DIV/0!</v>
      </c>
      <c r="H60" s="186">
        <f>IF($B60=0,0,G60/POWER(1+'CALCULADORA TIPS E-6'!$F$11,'Flujos Mensuales'!$B60/365))</f>
        <v>0</v>
      </c>
      <c r="I60" s="187">
        <f t="shared" si="1"/>
        <v>40107</v>
      </c>
      <c r="J60" s="188">
        <v>58</v>
      </c>
      <c r="K60" s="189">
        <f t="shared" si="5"/>
        <v>1764</v>
      </c>
      <c r="L60" s="190" t="e">
        <f t="shared" si="6"/>
        <v>#DIV/0!</v>
      </c>
      <c r="M60" s="191" t="e">
        <f t="shared" si="7"/>
        <v>#DIV/0!</v>
      </c>
      <c r="N60" s="191" t="e">
        <f t="shared" si="8"/>
        <v>#DIV/0!</v>
      </c>
      <c r="O60" s="192" t="e">
        <f t="shared" si="9"/>
        <v>#DIV/0!</v>
      </c>
    </row>
    <row r="61" spans="1:15" s="193" customFormat="1" ht="12.75">
      <c r="A61" s="181">
        <f t="shared" si="10"/>
        <v>40138</v>
      </c>
      <c r="B61" s="182">
        <f>IF(DIAS365('CALCULADORA TIPS E-6'!$E$6,A61)&lt;0,0,DIAS365('CALCULADORA TIPS E-6'!$E$6,A61))</f>
        <v>0</v>
      </c>
      <c r="C61" s="183">
        <f>+HLOOKUP('CALCULADORA TIPS E-6'!$E$4,Tablas!$B$1:$D$181,'Flujos Mensuales'!J61+1,FALSE)</f>
        <v>0.05362941</v>
      </c>
      <c r="D61" s="184" t="e">
        <f t="shared" si="2"/>
        <v>#DIV/0!</v>
      </c>
      <c r="E61" s="185" t="e">
        <f t="shared" si="3"/>
        <v>#DIV/0!</v>
      </c>
      <c r="F61" s="185" t="e">
        <f>ROUND(D60*ROUND(((1+'CALCULADORA TIPS E-6'!$C$14)^(1/12)-1),6),6)</f>
        <v>#DIV/0!</v>
      </c>
      <c r="G61" s="185" t="e">
        <f t="shared" si="4"/>
        <v>#DIV/0!</v>
      </c>
      <c r="H61" s="186">
        <f>IF($B61=0,0,G61/POWER(1+'CALCULADORA TIPS E-6'!$F$11,'Flujos Mensuales'!$B61/365))</f>
        <v>0</v>
      </c>
      <c r="I61" s="187">
        <f t="shared" si="1"/>
        <v>40138</v>
      </c>
      <c r="J61" s="188">
        <v>59</v>
      </c>
      <c r="K61" s="189">
        <f t="shared" si="5"/>
        <v>1795</v>
      </c>
      <c r="L61" s="190" t="e">
        <f t="shared" si="6"/>
        <v>#DIV/0!</v>
      </c>
      <c r="M61" s="191" t="e">
        <f t="shared" si="7"/>
        <v>#DIV/0!</v>
      </c>
      <c r="N61" s="191" t="e">
        <f t="shared" si="8"/>
        <v>#DIV/0!</v>
      </c>
      <c r="O61" s="192" t="e">
        <f t="shared" si="9"/>
        <v>#DIV/0!</v>
      </c>
    </row>
    <row r="62" spans="1:15" s="193" customFormat="1" ht="12.75">
      <c r="A62" s="181">
        <f t="shared" si="10"/>
        <v>40168</v>
      </c>
      <c r="B62" s="182">
        <f>IF(DIAS365('CALCULADORA TIPS E-6'!$E$6,A62)&lt;0,0,DIAS365('CALCULADORA TIPS E-6'!$E$6,A62))</f>
        <v>0</v>
      </c>
      <c r="C62" s="183">
        <f>+HLOOKUP('CALCULADORA TIPS E-6'!$E$4,Tablas!$B$1:$D$181,'Flujos Mensuales'!J62+1,FALSE)</f>
        <v>0.03911193</v>
      </c>
      <c r="D62" s="184" t="e">
        <f t="shared" si="2"/>
        <v>#DIV/0!</v>
      </c>
      <c r="E62" s="185" t="e">
        <f t="shared" si="3"/>
        <v>#DIV/0!</v>
      </c>
      <c r="F62" s="185" t="e">
        <f>ROUND(D61*ROUND(((1+'CALCULADORA TIPS E-6'!$C$14)^(1/12)-1),6),6)</f>
        <v>#DIV/0!</v>
      </c>
      <c r="G62" s="185" t="e">
        <f t="shared" si="4"/>
        <v>#DIV/0!</v>
      </c>
      <c r="H62" s="186">
        <f>IF($B62=0,0,G62/POWER(1+'CALCULADORA TIPS E-6'!$F$11,'Flujos Mensuales'!$B62/365))</f>
        <v>0</v>
      </c>
      <c r="I62" s="187">
        <f t="shared" si="1"/>
        <v>40168</v>
      </c>
      <c r="J62" s="188">
        <v>60</v>
      </c>
      <c r="K62" s="189">
        <f t="shared" si="5"/>
        <v>1825</v>
      </c>
      <c r="L62" s="190" t="e">
        <f t="shared" si="6"/>
        <v>#DIV/0!</v>
      </c>
      <c r="M62" s="191" t="e">
        <f t="shared" si="7"/>
        <v>#DIV/0!</v>
      </c>
      <c r="N62" s="191" t="e">
        <f t="shared" si="8"/>
        <v>#DIV/0!</v>
      </c>
      <c r="O62" s="192" t="e">
        <f t="shared" si="9"/>
        <v>#DIV/0!</v>
      </c>
    </row>
    <row r="63" spans="1:15" s="193" customFormat="1" ht="12.75">
      <c r="A63" s="181">
        <f t="shared" si="10"/>
        <v>40199</v>
      </c>
      <c r="B63" s="182">
        <f>IF(DIAS365('CALCULADORA TIPS E-6'!$E$6,A63)&lt;0,0,DIAS365('CALCULADORA TIPS E-6'!$E$6,A63))</f>
        <v>0</v>
      </c>
      <c r="C63" s="183">
        <f>+HLOOKUP('CALCULADORA TIPS E-6'!$E$4,Tablas!$B$1:$D$181,'Flujos Mensuales'!J63+1,FALSE)</f>
        <v>0.04339387</v>
      </c>
      <c r="D63" s="184" t="e">
        <f t="shared" si="2"/>
        <v>#DIV/0!</v>
      </c>
      <c r="E63" s="185" t="e">
        <f t="shared" si="3"/>
        <v>#DIV/0!</v>
      </c>
      <c r="F63" s="185" t="e">
        <f>ROUND(D62*ROUND(((1+'CALCULADORA TIPS E-6'!$C$14)^(1/12)-1),6),6)</f>
        <v>#DIV/0!</v>
      </c>
      <c r="G63" s="185" t="e">
        <f t="shared" si="4"/>
        <v>#DIV/0!</v>
      </c>
      <c r="H63" s="186">
        <f>IF($B63=0,0,G63/POWER(1+'CALCULADORA TIPS E-6'!$F$11,'Flujos Mensuales'!$B63/365))</f>
        <v>0</v>
      </c>
      <c r="I63" s="187">
        <f t="shared" si="1"/>
        <v>40199</v>
      </c>
      <c r="J63" s="188">
        <v>61</v>
      </c>
      <c r="K63" s="189">
        <f t="shared" si="5"/>
        <v>1856</v>
      </c>
      <c r="L63" s="190" t="e">
        <f t="shared" si="6"/>
        <v>#DIV/0!</v>
      </c>
      <c r="M63" s="191" t="e">
        <f t="shared" si="7"/>
        <v>#DIV/0!</v>
      </c>
      <c r="N63" s="191" t="e">
        <f t="shared" si="8"/>
        <v>#DIV/0!</v>
      </c>
      <c r="O63" s="192" t="e">
        <f t="shared" si="9"/>
        <v>#DIV/0!</v>
      </c>
    </row>
    <row r="64" spans="1:15" s="193" customFormat="1" ht="12.75">
      <c r="A64" s="181">
        <f t="shared" si="10"/>
        <v>40230</v>
      </c>
      <c r="B64" s="182">
        <f>IF(DIAS365('CALCULADORA TIPS E-6'!$E$6,A64)&lt;0,0,DIAS365('CALCULADORA TIPS E-6'!$E$6,A64))</f>
        <v>0</v>
      </c>
      <c r="C64" s="183">
        <f>+HLOOKUP('CALCULADORA TIPS E-6'!$E$4,Tablas!$B$1:$D$181,'Flujos Mensuales'!J64+1,FALSE)</f>
        <v>0.04616975</v>
      </c>
      <c r="D64" s="184" t="e">
        <f t="shared" si="2"/>
        <v>#DIV/0!</v>
      </c>
      <c r="E64" s="185" t="e">
        <f t="shared" si="3"/>
        <v>#DIV/0!</v>
      </c>
      <c r="F64" s="185" t="e">
        <f>ROUND(D63*ROUND(((1+'CALCULADORA TIPS E-6'!$C$14)^(1/12)-1),6),6)</f>
        <v>#DIV/0!</v>
      </c>
      <c r="G64" s="185" t="e">
        <f t="shared" si="4"/>
        <v>#DIV/0!</v>
      </c>
      <c r="H64" s="186">
        <f>IF($B64=0,0,G64/POWER(1+'CALCULADORA TIPS E-6'!$F$11,'Flujos Mensuales'!$B64/365))</f>
        <v>0</v>
      </c>
      <c r="I64" s="187">
        <f t="shared" si="1"/>
        <v>40230</v>
      </c>
      <c r="J64" s="188">
        <v>62</v>
      </c>
      <c r="K64" s="189">
        <f t="shared" si="5"/>
        <v>1887</v>
      </c>
      <c r="L64" s="190" t="e">
        <f t="shared" si="6"/>
        <v>#DIV/0!</v>
      </c>
      <c r="M64" s="191" t="e">
        <f t="shared" si="7"/>
        <v>#DIV/0!</v>
      </c>
      <c r="N64" s="191" t="e">
        <f t="shared" si="8"/>
        <v>#DIV/0!</v>
      </c>
      <c r="O64" s="192" t="e">
        <f t="shared" si="9"/>
        <v>#DIV/0!</v>
      </c>
    </row>
    <row r="65" spans="1:15" s="194" customFormat="1" ht="12.75">
      <c r="A65" s="195">
        <f t="shared" si="10"/>
        <v>40258</v>
      </c>
      <c r="B65" s="196">
        <f>IF(DIAS365('CALCULADORA TIPS E-6'!$E$6,A65)&lt;0,0,DIAS365('CALCULADORA TIPS E-6'!$E$6,A65))</f>
        <v>0</v>
      </c>
      <c r="C65" s="197">
        <f>+HLOOKUP('CALCULADORA TIPS E-6'!$E$4,Tablas!$B$1:$D$181,'Flujos Mensuales'!J65+1,FALSE)</f>
        <v>0.03663447</v>
      </c>
      <c r="D65" s="198" t="e">
        <f t="shared" si="2"/>
        <v>#DIV/0!</v>
      </c>
      <c r="E65" s="199" t="e">
        <f t="shared" si="3"/>
        <v>#DIV/0!</v>
      </c>
      <c r="F65" s="199" t="e">
        <f>ROUND(D64*ROUND(((1+'CALCULADORA TIPS E-6'!$C$14)^(1/12)-1),6),6)</f>
        <v>#DIV/0!</v>
      </c>
      <c r="G65" s="199" t="e">
        <f t="shared" si="4"/>
        <v>#DIV/0!</v>
      </c>
      <c r="H65" s="200">
        <f>IF($B65=0,0,G65/POWER(1+'CALCULADORA TIPS E-6'!$F$11,'Flujos Mensuales'!$B65/365))</f>
        <v>0</v>
      </c>
      <c r="I65" s="201">
        <f t="shared" si="1"/>
        <v>40258</v>
      </c>
      <c r="J65" s="202">
        <v>63</v>
      </c>
      <c r="K65" s="203">
        <f t="shared" si="5"/>
        <v>1915</v>
      </c>
      <c r="L65" s="204" t="e">
        <f t="shared" si="6"/>
        <v>#DIV/0!</v>
      </c>
      <c r="M65" s="205" t="e">
        <f t="shared" si="7"/>
        <v>#DIV/0!</v>
      </c>
      <c r="N65" s="205" t="e">
        <f t="shared" si="8"/>
        <v>#DIV/0!</v>
      </c>
      <c r="O65" s="206" t="e">
        <f t="shared" si="9"/>
        <v>#DIV/0!</v>
      </c>
    </row>
    <row r="66" spans="1:15" ht="12.75">
      <c r="A66" s="4">
        <f t="shared" si="10"/>
        <v>40289</v>
      </c>
      <c r="B66" s="9">
        <f>IF(DIAS365('CALCULADORA TIPS E-6'!$E$6,A66)&lt;0,0,DIAS365('CALCULADORA TIPS E-6'!$E$6,A66))</f>
        <v>0</v>
      </c>
      <c r="C66" s="5">
        <f>+HLOOKUP('CALCULADORA TIPS E-6'!$E$4,Tablas!$B$1:$D$181,'Flujos Mensuales'!J66+1,FALSE)</f>
        <v>0.04153187</v>
      </c>
      <c r="D66" s="14" t="e">
        <f t="shared" si="2"/>
        <v>#DIV/0!</v>
      </c>
      <c r="E66" s="15" t="e">
        <f t="shared" si="3"/>
        <v>#DIV/0!</v>
      </c>
      <c r="F66" s="15" t="e">
        <f>ROUND(D65*ROUND(((1+'CALCULADORA TIPS E-6'!$C$14)^(1/12)-1),6),6)</f>
        <v>#DIV/0!</v>
      </c>
      <c r="G66" s="15" t="e">
        <f t="shared" si="4"/>
        <v>#DIV/0!</v>
      </c>
      <c r="H66" s="28">
        <f>IF($B66=0,0,G66/POWER(1+'CALCULADORA TIPS E-6'!$F$11,'Flujos Mensuales'!$B66/365))</f>
        <v>0</v>
      </c>
      <c r="I66" s="30">
        <f t="shared" si="1"/>
        <v>40289</v>
      </c>
      <c r="J66" s="25">
        <v>64</v>
      </c>
      <c r="K66" s="12">
        <f t="shared" si="5"/>
        <v>1946</v>
      </c>
      <c r="L66" s="96" t="e">
        <f t="shared" si="6"/>
        <v>#DIV/0!</v>
      </c>
      <c r="M66" s="93" t="e">
        <f t="shared" si="7"/>
        <v>#DIV/0!</v>
      </c>
      <c r="N66" s="93" t="e">
        <f t="shared" si="8"/>
        <v>#DIV/0!</v>
      </c>
      <c r="O66" s="94" t="e">
        <f t="shared" si="9"/>
        <v>#DIV/0!</v>
      </c>
    </row>
    <row r="67" spans="1:15" ht="12.75">
      <c r="A67" s="4">
        <f aca="true" t="shared" si="11" ref="A67:A98">_XLL.FECHA.MES(A66,1)</f>
        <v>40319</v>
      </c>
      <c r="B67" s="9">
        <f>IF(DIAS365('CALCULADORA TIPS E-6'!$E$6,A67)&lt;0,0,DIAS365('CALCULADORA TIPS E-6'!$E$6,A67))</f>
        <v>0</v>
      </c>
      <c r="C67" s="5">
        <f>+HLOOKUP('CALCULADORA TIPS E-6'!$E$4,Tablas!$B$1:$D$181,'Flujos Mensuales'!J67+1,FALSE)</f>
        <v>0.04074953</v>
      </c>
      <c r="D67" s="14" t="e">
        <f t="shared" si="2"/>
        <v>#DIV/0!</v>
      </c>
      <c r="E67" s="15" t="e">
        <f t="shared" si="3"/>
        <v>#DIV/0!</v>
      </c>
      <c r="F67" s="15" t="e">
        <f>ROUND(D66*ROUND(((1+'CALCULADORA TIPS E-6'!$C$14)^(1/12)-1),6),6)</f>
        <v>#DIV/0!</v>
      </c>
      <c r="G67" s="15" t="e">
        <f t="shared" si="4"/>
        <v>#DIV/0!</v>
      </c>
      <c r="H67" s="28">
        <f>IF($B67=0,0,G67/POWER(1+'CALCULADORA TIPS E-6'!$F$11,'Flujos Mensuales'!$B67/365))</f>
        <v>0</v>
      </c>
      <c r="I67" s="30">
        <f aca="true" t="shared" si="12" ref="I67:I130">+A67</f>
        <v>40319</v>
      </c>
      <c r="J67" s="25">
        <v>65</v>
      </c>
      <c r="K67" s="12">
        <f t="shared" si="5"/>
        <v>1976</v>
      </c>
      <c r="L67" s="96" t="e">
        <f t="shared" si="6"/>
        <v>#DIV/0!</v>
      </c>
      <c r="M67" s="93" t="e">
        <f t="shared" si="7"/>
        <v>#DIV/0!</v>
      </c>
      <c r="N67" s="93" t="e">
        <f t="shared" si="8"/>
        <v>#DIV/0!</v>
      </c>
      <c r="O67" s="94" t="e">
        <f t="shared" si="9"/>
        <v>#DIV/0!</v>
      </c>
    </row>
    <row r="68" spans="1:15" ht="12.75">
      <c r="A68" s="4">
        <f t="shared" si="11"/>
        <v>40350</v>
      </c>
      <c r="B68" s="9">
        <f>IF(DIAS365('CALCULADORA TIPS E-6'!$E$6,A68)&lt;0,0,DIAS365('CALCULADORA TIPS E-6'!$E$6,A68))</f>
        <v>0</v>
      </c>
      <c r="C68" s="5">
        <f>+HLOOKUP('CALCULADORA TIPS E-6'!$E$4,Tablas!$B$1:$D$181,'Flujos Mensuales'!J68+1,FALSE)</f>
        <v>0.0391136</v>
      </c>
      <c r="D68" s="14" t="e">
        <f aca="true" t="shared" si="13" ref="D68:D131">+ROUND(D67-E68,6)</f>
        <v>#DIV/0!</v>
      </c>
      <c r="E68" s="15" t="e">
        <f aca="true" t="shared" si="14" ref="E68:E131">ROUND(C68*$D$2,6)</f>
        <v>#DIV/0!</v>
      </c>
      <c r="F68" s="15" t="e">
        <f>ROUND(D67*ROUND(((1+'CALCULADORA TIPS E-6'!$C$14)^(1/12)-1),6),6)</f>
        <v>#DIV/0!</v>
      </c>
      <c r="G68" s="15" t="e">
        <f aca="true" t="shared" si="15" ref="G68:G131">F68+E68</f>
        <v>#DIV/0!</v>
      </c>
      <c r="H68" s="28">
        <f>IF($B68=0,0,G68/POWER(1+'CALCULADORA TIPS E-6'!$F$11,'Flujos Mensuales'!$B68/365))</f>
        <v>0</v>
      </c>
      <c r="I68" s="30">
        <f t="shared" si="12"/>
        <v>40350</v>
      </c>
      <c r="J68" s="25">
        <v>66</v>
      </c>
      <c r="K68" s="12">
        <f aca="true" t="shared" si="16" ref="K68:K131">+DIAS365($A$2,A68)</f>
        <v>2007</v>
      </c>
      <c r="L68" s="96" t="e">
        <f aca="true" t="shared" si="17" ref="L68:L131">+L67-M68</f>
        <v>#DIV/0!</v>
      </c>
      <c r="M68" s="93" t="e">
        <f aca="true" t="shared" si="18" ref="M68:M131">+$L$2*C68</f>
        <v>#DIV/0!</v>
      </c>
      <c r="N68" s="93" t="e">
        <f aca="true" t="shared" si="19" ref="N68:N131">+L67*$F$3%</f>
        <v>#DIV/0!</v>
      </c>
      <c r="O68" s="94" t="e">
        <f aca="true" t="shared" si="20" ref="O68:O131">+N68+M68</f>
        <v>#DIV/0!</v>
      </c>
    </row>
    <row r="69" spans="1:15" s="193" customFormat="1" ht="12.75">
      <c r="A69" s="181">
        <f t="shared" si="11"/>
        <v>40380</v>
      </c>
      <c r="B69" s="182">
        <f>IF(DIAS365('CALCULADORA TIPS E-6'!$E$6,A69)&lt;0,0,DIAS365('CALCULADORA TIPS E-6'!$E$6,A69))</f>
        <v>0</v>
      </c>
      <c r="C69" s="215">
        <f>+HLOOKUP('CALCULADORA TIPS E-6'!$E$4,Tablas!$B$1:$D$181,'Flujos Mensuales'!J69+1,FALSE)</f>
        <v>0.03765663</v>
      </c>
      <c r="D69" s="216" t="e">
        <f t="shared" si="13"/>
        <v>#DIV/0!</v>
      </c>
      <c r="E69" s="217" t="e">
        <f t="shared" si="14"/>
        <v>#DIV/0!</v>
      </c>
      <c r="F69" s="217" t="e">
        <f>ROUND(D68*ROUND(((1+'CALCULADORA TIPS E-6'!$C$14)^(1/12)-1),6),6)</f>
        <v>#DIV/0!</v>
      </c>
      <c r="G69" s="217" t="e">
        <f t="shared" si="15"/>
        <v>#DIV/0!</v>
      </c>
      <c r="H69" s="186">
        <f>IF($B69=0,0,G69/POWER(1+'CALCULADORA TIPS E-6'!$F$11,'Flujos Mensuales'!$B69/365))</f>
        <v>0</v>
      </c>
      <c r="I69" s="187">
        <f t="shared" si="12"/>
        <v>40380</v>
      </c>
      <c r="J69" s="188">
        <v>67</v>
      </c>
      <c r="K69" s="189">
        <f t="shared" si="16"/>
        <v>2037</v>
      </c>
      <c r="L69" s="190" t="e">
        <f t="shared" si="17"/>
        <v>#DIV/0!</v>
      </c>
      <c r="M69" s="191" t="e">
        <f t="shared" si="18"/>
        <v>#DIV/0!</v>
      </c>
      <c r="N69" s="191" t="e">
        <f t="shared" si="19"/>
        <v>#DIV/0!</v>
      </c>
      <c r="O69" s="192" t="e">
        <f t="shared" si="20"/>
        <v>#DIV/0!</v>
      </c>
    </row>
    <row r="70" spans="1:15" s="193" customFormat="1" ht="12.75">
      <c r="A70" s="181">
        <f t="shared" si="11"/>
        <v>40411</v>
      </c>
      <c r="B70" s="182">
        <f>IF(DIAS365('CALCULADORA TIPS E-6'!$E$6,A70)&lt;0,0,DIAS365('CALCULADORA TIPS E-6'!$E$6,A70))</f>
        <v>0</v>
      </c>
      <c r="C70" s="220">
        <f>+HLOOKUP('CALCULADORA TIPS E-6'!$E$4,Tablas!$B$1:$D$181,'Flujos Mensuales'!J70+1,FALSE)</f>
        <v>0.04418616</v>
      </c>
      <c r="D70" s="221" t="e">
        <f t="shared" si="13"/>
        <v>#DIV/0!</v>
      </c>
      <c r="E70" s="222" t="e">
        <f t="shared" si="14"/>
        <v>#DIV/0!</v>
      </c>
      <c r="F70" s="222" t="e">
        <f>ROUND(D69*ROUND(((1+'CALCULADORA TIPS E-6'!$C$14)^(1/12)-1),6),6)</f>
        <v>#DIV/0!</v>
      </c>
      <c r="G70" s="222" t="e">
        <f t="shared" si="15"/>
        <v>#DIV/0!</v>
      </c>
      <c r="H70" s="186">
        <f>IF($B70=0,0,G70/POWER(1+'CALCULADORA TIPS E-6'!$F$11,'Flujos Mensuales'!$B70/365))</f>
        <v>0</v>
      </c>
      <c r="I70" s="187">
        <f t="shared" si="12"/>
        <v>40411</v>
      </c>
      <c r="J70" s="188">
        <v>68</v>
      </c>
      <c r="K70" s="189">
        <f t="shared" si="16"/>
        <v>2068</v>
      </c>
      <c r="L70" s="190" t="e">
        <f t="shared" si="17"/>
        <v>#DIV/0!</v>
      </c>
      <c r="M70" s="191" t="e">
        <f t="shared" si="18"/>
        <v>#DIV/0!</v>
      </c>
      <c r="N70" s="191" t="e">
        <f t="shared" si="19"/>
        <v>#DIV/0!</v>
      </c>
      <c r="O70" s="192" t="e">
        <f t="shared" si="20"/>
        <v>#DIV/0!</v>
      </c>
    </row>
    <row r="71" spans="1:15" s="218" customFormat="1" ht="12.75">
      <c r="A71" s="195">
        <f t="shared" si="11"/>
        <v>40442</v>
      </c>
      <c r="B71" s="196">
        <f>IF(DIAS365('CALCULADORA TIPS E-6'!$E$6,A71)&lt;0,0,DIAS365('CALCULADORA TIPS E-6'!$E$6,A71))</f>
        <v>0</v>
      </c>
      <c r="C71" s="223">
        <f>+HLOOKUP('CALCULADORA TIPS E-6'!$E$4,Tablas!$B$1:$D$181,'Flujos Mensuales'!J71+1,FALSE)</f>
        <v>0.03608306</v>
      </c>
      <c r="D71" s="224" t="e">
        <f t="shared" si="13"/>
        <v>#DIV/0!</v>
      </c>
      <c r="E71" s="225" t="e">
        <f t="shared" si="14"/>
        <v>#DIV/0!</v>
      </c>
      <c r="F71" s="225" t="e">
        <f>ROUND(D70*ROUND(((1+'CALCULADORA TIPS E-6'!$C$14)^(1/12)-1),6),6)</f>
        <v>#DIV/0!</v>
      </c>
      <c r="G71" s="225" t="e">
        <f t="shared" si="15"/>
        <v>#DIV/0!</v>
      </c>
      <c r="H71" s="200">
        <f>IF($B71=0,0,G71/POWER(1+'CALCULADORA TIPS E-6'!$F$11,'Flujos Mensuales'!$B71/365))</f>
        <v>0</v>
      </c>
      <c r="I71" s="201">
        <f t="shared" si="12"/>
        <v>40442</v>
      </c>
      <c r="J71" s="202">
        <v>69</v>
      </c>
      <c r="K71" s="203">
        <f t="shared" si="16"/>
        <v>2099</v>
      </c>
      <c r="L71" s="204" t="e">
        <f t="shared" si="17"/>
        <v>#DIV/0!</v>
      </c>
      <c r="M71" s="205" t="e">
        <f t="shared" si="18"/>
        <v>#DIV/0!</v>
      </c>
      <c r="N71" s="205" t="e">
        <f t="shared" si="19"/>
        <v>#DIV/0!</v>
      </c>
      <c r="O71" s="206" t="e">
        <f t="shared" si="20"/>
        <v>#DIV/0!</v>
      </c>
    </row>
    <row r="72" spans="1:15" s="193" customFormat="1" ht="12.75">
      <c r="A72" s="181">
        <f t="shared" si="11"/>
        <v>40472</v>
      </c>
      <c r="B72" s="182">
        <f>IF(DIAS365('CALCULADORA TIPS E-6'!$E$6,A72)&lt;0,0,DIAS365('CALCULADORA TIPS E-6'!$E$6,A72))</f>
        <v>0</v>
      </c>
      <c r="C72" s="226">
        <f>+HLOOKUP('CALCULADORA TIPS E-6'!$E$4,Tablas!$B$1:$D$181,'Flujos Mensuales'!J72+1,FALSE)</f>
        <v>0.04175247</v>
      </c>
      <c r="D72" s="227" t="e">
        <f t="shared" si="13"/>
        <v>#DIV/0!</v>
      </c>
      <c r="E72" s="228" t="e">
        <f t="shared" si="14"/>
        <v>#DIV/0!</v>
      </c>
      <c r="F72" s="228" t="e">
        <f>ROUND(D71*ROUND(((1+'CALCULADORA TIPS E-6'!$C$14)^(1/12)-1),6),6)</f>
        <v>#DIV/0!</v>
      </c>
      <c r="G72" s="228" t="e">
        <f t="shared" si="15"/>
        <v>#DIV/0!</v>
      </c>
      <c r="H72" s="186">
        <f>IF($B72=0,0,G72/POWER(1+'CALCULADORA TIPS E-6'!$F$11,'Flujos Mensuales'!$B72/365))</f>
        <v>0</v>
      </c>
      <c r="I72" s="187">
        <f t="shared" si="12"/>
        <v>40472</v>
      </c>
      <c r="J72" s="188">
        <v>70</v>
      </c>
      <c r="K72" s="189">
        <f t="shared" si="16"/>
        <v>2129</v>
      </c>
      <c r="L72" s="190" t="e">
        <f t="shared" si="17"/>
        <v>#DIV/0!</v>
      </c>
      <c r="M72" s="191" t="e">
        <f t="shared" si="18"/>
        <v>#DIV/0!</v>
      </c>
      <c r="N72" s="191" t="e">
        <f t="shared" si="19"/>
        <v>#DIV/0!</v>
      </c>
      <c r="O72" s="192" t="e">
        <f t="shared" si="20"/>
        <v>#DIV/0!</v>
      </c>
    </row>
    <row r="73" spans="1:15" s="193" customFormat="1" ht="12.75">
      <c r="A73" s="181">
        <f t="shared" si="11"/>
        <v>40503</v>
      </c>
      <c r="B73" s="182">
        <f>IF(DIAS365('CALCULADORA TIPS E-6'!$E$6,A73)&lt;0,0,DIAS365('CALCULADORA TIPS E-6'!$E$6,A73))</f>
        <v>0</v>
      </c>
      <c r="C73" s="238">
        <f>+HLOOKUP('CALCULADORA TIPS E-6'!$E$4,Tablas!$B$1:$D$181,'Flujos Mensuales'!J73+1,FALSE)</f>
        <v>0.03866279</v>
      </c>
      <c r="D73" s="239" t="e">
        <f t="shared" si="13"/>
        <v>#DIV/0!</v>
      </c>
      <c r="E73" s="240" t="e">
        <f t="shared" si="14"/>
        <v>#DIV/0!</v>
      </c>
      <c r="F73" s="240" t="e">
        <f>ROUND(D72*ROUND(((1+'CALCULADORA TIPS E-6'!$C$14)^(1/12)-1),6),6)</f>
        <v>#DIV/0!</v>
      </c>
      <c r="G73" s="240" t="e">
        <f t="shared" si="15"/>
        <v>#DIV/0!</v>
      </c>
      <c r="H73" s="186">
        <f>IF($B73=0,0,G73/POWER(1+'CALCULADORA TIPS E-6'!$F$11,'Flujos Mensuales'!$B73/365))</f>
        <v>0</v>
      </c>
      <c r="I73" s="187">
        <f t="shared" si="12"/>
        <v>40503</v>
      </c>
      <c r="J73" s="188">
        <v>71</v>
      </c>
      <c r="K73" s="189">
        <f t="shared" si="16"/>
        <v>2160</v>
      </c>
      <c r="L73" s="190" t="e">
        <f t="shared" si="17"/>
        <v>#DIV/0!</v>
      </c>
      <c r="M73" s="191" t="e">
        <f t="shared" si="18"/>
        <v>#DIV/0!</v>
      </c>
      <c r="N73" s="191" t="e">
        <f t="shared" si="19"/>
        <v>#DIV/0!</v>
      </c>
      <c r="O73" s="192" t="e">
        <f t="shared" si="20"/>
        <v>#DIV/0!</v>
      </c>
    </row>
    <row r="74" spans="1:15" s="193" customFormat="1" ht="12.75">
      <c r="A74" s="181">
        <f t="shared" si="11"/>
        <v>40533</v>
      </c>
      <c r="B74" s="182">
        <f>IF(DIAS365('CALCULADORA TIPS E-6'!$E$6,A74)&lt;0,0,DIAS365('CALCULADORA TIPS E-6'!$E$6,A74))</f>
        <v>0</v>
      </c>
      <c r="C74" s="242">
        <f>+HLOOKUP('CALCULADORA TIPS E-6'!$E$4,Tablas!$B$1:$D$181,'Flujos Mensuales'!J74+1,FALSE)</f>
        <v>0.03466053</v>
      </c>
      <c r="D74" s="243" t="e">
        <f t="shared" si="13"/>
        <v>#DIV/0!</v>
      </c>
      <c r="E74" s="244" t="e">
        <f t="shared" si="14"/>
        <v>#DIV/0!</v>
      </c>
      <c r="F74" s="244" t="e">
        <f>ROUND(D73*ROUND(((1+'CALCULADORA TIPS E-6'!$C$14)^(1/12)-1),6),6)</f>
        <v>#DIV/0!</v>
      </c>
      <c r="G74" s="244" t="e">
        <f t="shared" si="15"/>
        <v>#DIV/0!</v>
      </c>
      <c r="H74" s="186">
        <f>IF($B74=0,0,G74/POWER(1+'CALCULADORA TIPS E-6'!$F$11,'Flujos Mensuales'!$B74/365))</f>
        <v>0</v>
      </c>
      <c r="I74" s="187">
        <f t="shared" si="12"/>
        <v>40533</v>
      </c>
      <c r="J74" s="188">
        <v>72</v>
      </c>
      <c r="K74" s="189">
        <f t="shared" si="16"/>
        <v>2190</v>
      </c>
      <c r="L74" s="190" t="e">
        <f t="shared" si="17"/>
        <v>#DIV/0!</v>
      </c>
      <c r="M74" s="191" t="e">
        <f t="shared" si="18"/>
        <v>#DIV/0!</v>
      </c>
      <c r="N74" s="191" t="e">
        <f t="shared" si="19"/>
        <v>#DIV/0!</v>
      </c>
      <c r="O74" s="192" t="e">
        <f t="shared" si="20"/>
        <v>#DIV/0!</v>
      </c>
    </row>
    <row r="75" spans="1:15" s="193" customFormat="1" ht="12.75">
      <c r="A75" s="181">
        <f t="shared" si="11"/>
        <v>40564</v>
      </c>
      <c r="B75" s="182">
        <f>IF(DIAS365('CALCULADORA TIPS E-6'!$E$6,A75)&lt;0,0,DIAS365('CALCULADORA TIPS E-6'!$E$6,A75))</f>
        <v>0</v>
      </c>
      <c r="C75" s="245">
        <f>+HLOOKUP('CALCULADORA TIPS E-6'!$E$4,Tablas!$B$1:$D$181,'Flujos Mensuales'!J75+1,FALSE)</f>
        <v>0.03382013</v>
      </c>
      <c r="D75" s="246" t="e">
        <f t="shared" si="13"/>
        <v>#DIV/0!</v>
      </c>
      <c r="E75" s="247" t="e">
        <f t="shared" si="14"/>
        <v>#DIV/0!</v>
      </c>
      <c r="F75" s="247" t="e">
        <f>ROUND(D74*ROUND(((1+'CALCULADORA TIPS E-6'!$C$14)^(1/12)-1),6),6)</f>
        <v>#DIV/0!</v>
      </c>
      <c r="G75" s="247" t="e">
        <f t="shared" si="15"/>
        <v>#DIV/0!</v>
      </c>
      <c r="H75" s="186">
        <f>IF($B75=0,0,G75/POWER(1+'CALCULADORA TIPS E-6'!$F$11,'Flujos Mensuales'!$B75/365))</f>
        <v>0</v>
      </c>
      <c r="I75" s="187">
        <f t="shared" si="12"/>
        <v>40564</v>
      </c>
      <c r="J75" s="188">
        <v>73</v>
      </c>
      <c r="K75" s="189">
        <f t="shared" si="16"/>
        <v>2221</v>
      </c>
      <c r="L75" s="190" t="e">
        <f t="shared" si="17"/>
        <v>#DIV/0!</v>
      </c>
      <c r="M75" s="191" t="e">
        <f t="shared" si="18"/>
        <v>#DIV/0!</v>
      </c>
      <c r="N75" s="191" t="e">
        <f t="shared" si="19"/>
        <v>#DIV/0!</v>
      </c>
      <c r="O75" s="192" t="e">
        <f t="shared" si="20"/>
        <v>#DIV/0!</v>
      </c>
    </row>
    <row r="76" spans="1:15" s="193" customFormat="1" ht="12.75">
      <c r="A76" s="181">
        <f t="shared" si="11"/>
        <v>40595</v>
      </c>
      <c r="B76" s="182">
        <f>IF(DIAS365('CALCULADORA TIPS E-6'!$E$6,A76)&lt;0,0,DIAS365('CALCULADORA TIPS E-6'!$E$6,A76))</f>
        <v>0</v>
      </c>
      <c r="C76" s="248">
        <f>+HLOOKUP('CALCULADORA TIPS E-6'!$E$4,Tablas!$B$1:$D$181,'Flujos Mensuales'!J76+1,FALSE)</f>
        <v>0.03160331</v>
      </c>
      <c r="D76" s="249" t="e">
        <f t="shared" si="13"/>
        <v>#DIV/0!</v>
      </c>
      <c r="E76" s="250" t="e">
        <f t="shared" si="14"/>
        <v>#DIV/0!</v>
      </c>
      <c r="F76" s="250" t="e">
        <f>ROUND(D75*ROUND(((1+'CALCULADORA TIPS E-6'!$C$14)^(1/12)-1),6),6)</f>
        <v>#DIV/0!</v>
      </c>
      <c r="G76" s="250" t="e">
        <f t="shared" si="15"/>
        <v>#DIV/0!</v>
      </c>
      <c r="H76" s="186">
        <f>IF($B76=0,0,G76/POWER(1+'CALCULADORA TIPS E-6'!$F$11,'Flujos Mensuales'!$B76/365))</f>
        <v>0</v>
      </c>
      <c r="I76" s="187">
        <f t="shared" si="12"/>
        <v>40595</v>
      </c>
      <c r="J76" s="188">
        <v>74</v>
      </c>
      <c r="K76" s="189">
        <f t="shared" si="16"/>
        <v>2252</v>
      </c>
      <c r="L76" s="190" t="e">
        <f t="shared" si="17"/>
        <v>#DIV/0!</v>
      </c>
      <c r="M76" s="191" t="e">
        <f t="shared" si="18"/>
        <v>#DIV/0!</v>
      </c>
      <c r="N76" s="191" t="e">
        <f t="shared" si="19"/>
        <v>#DIV/0!</v>
      </c>
      <c r="O76" s="192" t="e">
        <f t="shared" si="20"/>
        <v>#DIV/0!</v>
      </c>
    </row>
    <row r="77" spans="1:15" s="193" customFormat="1" ht="12.75">
      <c r="A77" s="181">
        <f t="shared" si="11"/>
        <v>40623</v>
      </c>
      <c r="B77" s="182">
        <f>IF(DIAS365('CALCULADORA TIPS E-6'!$E$6,A77)&lt;0,0,DIAS365('CALCULADORA TIPS E-6'!$E$6,A77))</f>
        <v>0</v>
      </c>
      <c r="C77" s="251">
        <f>+HLOOKUP('CALCULADORA TIPS E-6'!$E$4,Tablas!$B$1:$D$181,'Flujos Mensuales'!J77+1,FALSE)</f>
        <v>0.03711363</v>
      </c>
      <c r="D77" s="252" t="e">
        <f t="shared" si="13"/>
        <v>#DIV/0!</v>
      </c>
      <c r="E77" s="253" t="e">
        <f t="shared" si="14"/>
        <v>#DIV/0!</v>
      </c>
      <c r="F77" s="253" t="e">
        <f>ROUND(D76*ROUND(((1+'CALCULADORA TIPS E-6'!$C$14)^(1/12)-1),6),6)</f>
        <v>#DIV/0!</v>
      </c>
      <c r="G77" s="253" t="e">
        <f t="shared" si="15"/>
        <v>#DIV/0!</v>
      </c>
      <c r="H77" s="186">
        <f>IF($B77=0,0,G77/POWER(1+'CALCULADORA TIPS E-6'!$F$11,'Flujos Mensuales'!$B77/365))</f>
        <v>0</v>
      </c>
      <c r="I77" s="187">
        <f t="shared" si="12"/>
        <v>40623</v>
      </c>
      <c r="J77" s="188">
        <v>75</v>
      </c>
      <c r="K77" s="189">
        <f t="shared" si="16"/>
        <v>2280</v>
      </c>
      <c r="L77" s="190" t="e">
        <f t="shared" si="17"/>
        <v>#DIV/0!</v>
      </c>
      <c r="M77" s="191" t="e">
        <f t="shared" si="18"/>
        <v>#DIV/0!</v>
      </c>
      <c r="N77" s="191" t="e">
        <f t="shared" si="19"/>
        <v>#DIV/0!</v>
      </c>
      <c r="O77" s="192" t="e">
        <f t="shared" si="20"/>
        <v>#DIV/0!</v>
      </c>
    </row>
    <row r="78" spans="1:15" s="193" customFormat="1" ht="12.75">
      <c r="A78" s="181">
        <f t="shared" si="11"/>
        <v>40654</v>
      </c>
      <c r="B78" s="182">
        <f>IF(DIAS365('CALCULADORA TIPS E-6'!$E$6,A78)&lt;0,0,DIAS365('CALCULADORA TIPS E-6'!$E$6,A78))</f>
        <v>0</v>
      </c>
      <c r="C78" s="254">
        <f>+HLOOKUP('CALCULADORA TIPS E-6'!$E$4,Tablas!$B$1:$D$181,'Flujos Mensuales'!J78+1,FALSE)</f>
        <v>0.03689635</v>
      </c>
      <c r="D78" s="255" t="e">
        <f t="shared" si="13"/>
        <v>#DIV/0!</v>
      </c>
      <c r="E78" s="256" t="e">
        <f t="shared" si="14"/>
        <v>#DIV/0!</v>
      </c>
      <c r="F78" s="256" t="e">
        <f>ROUND(D77*ROUND(((1+'CALCULADORA TIPS E-6'!$C$14)^(1/12)-1),6),6)</f>
        <v>#DIV/0!</v>
      </c>
      <c r="G78" s="256" t="e">
        <f t="shared" si="15"/>
        <v>#DIV/0!</v>
      </c>
      <c r="H78" s="186">
        <f>IF($B78=0,0,G78/POWER(1+'CALCULADORA TIPS E-6'!$F$11,'Flujos Mensuales'!$B78/365))</f>
        <v>0</v>
      </c>
      <c r="I78" s="187">
        <f t="shared" si="12"/>
        <v>40654</v>
      </c>
      <c r="J78" s="188">
        <v>76</v>
      </c>
      <c r="K78" s="189">
        <f t="shared" si="16"/>
        <v>2311</v>
      </c>
      <c r="L78" s="190" t="e">
        <f t="shared" si="17"/>
        <v>#DIV/0!</v>
      </c>
      <c r="M78" s="191" t="e">
        <f t="shared" si="18"/>
        <v>#DIV/0!</v>
      </c>
      <c r="N78" s="191" t="e">
        <f t="shared" si="19"/>
        <v>#DIV/0!</v>
      </c>
      <c r="O78" s="192" t="e">
        <f t="shared" si="20"/>
        <v>#DIV/0!</v>
      </c>
    </row>
    <row r="79" spans="1:15" s="193" customFormat="1" ht="12.75">
      <c r="A79" s="181">
        <f t="shared" si="11"/>
        <v>40684</v>
      </c>
      <c r="B79" s="182">
        <f>IF(DIAS365('CALCULADORA TIPS E-6'!$E$6,A79)&lt;0,0,DIAS365('CALCULADORA TIPS E-6'!$E$6,A79))</f>
        <v>0</v>
      </c>
      <c r="C79" s="257">
        <f>+HLOOKUP('CALCULADORA TIPS E-6'!$E$4,Tablas!$B$1:$D$181,'Flujos Mensuales'!J79+1,FALSE)</f>
        <v>0.02961467</v>
      </c>
      <c r="D79" s="258" t="e">
        <f t="shared" si="13"/>
        <v>#DIV/0!</v>
      </c>
      <c r="E79" s="259" t="e">
        <f t="shared" si="14"/>
        <v>#DIV/0!</v>
      </c>
      <c r="F79" s="259" t="e">
        <f>ROUND(D78*ROUND(((1+'CALCULADORA TIPS E-6'!$C$14)^(1/12)-1),6),6)</f>
        <v>#DIV/0!</v>
      </c>
      <c r="G79" s="259" t="e">
        <f t="shared" si="15"/>
        <v>#DIV/0!</v>
      </c>
      <c r="H79" s="186">
        <f>IF($B79=0,0,G79/POWER(1+'CALCULADORA TIPS E-6'!$F$11,'Flujos Mensuales'!$B79/365))</f>
        <v>0</v>
      </c>
      <c r="I79" s="187">
        <f t="shared" si="12"/>
        <v>40684</v>
      </c>
      <c r="J79" s="188">
        <v>77</v>
      </c>
      <c r="K79" s="189">
        <f t="shared" si="16"/>
        <v>2341</v>
      </c>
      <c r="L79" s="190" t="e">
        <f t="shared" si="17"/>
        <v>#DIV/0!</v>
      </c>
      <c r="M79" s="191" t="e">
        <f t="shared" si="18"/>
        <v>#DIV/0!</v>
      </c>
      <c r="N79" s="191" t="e">
        <f t="shared" si="19"/>
        <v>#DIV/0!</v>
      </c>
      <c r="O79" s="192" t="e">
        <f t="shared" si="20"/>
        <v>#DIV/0!</v>
      </c>
    </row>
    <row r="80" spans="1:15" s="193" customFormat="1" ht="12.75">
      <c r="A80" s="181">
        <f t="shared" si="11"/>
        <v>40715</v>
      </c>
      <c r="B80" s="182">
        <f>IF(DIAS365('CALCULADORA TIPS E-6'!$E$6,A80)&lt;0,0,DIAS365('CALCULADORA TIPS E-6'!$E$6,A80))</f>
        <v>0</v>
      </c>
      <c r="C80" s="260">
        <f>+HLOOKUP('CALCULADORA TIPS E-6'!$E$4,Tablas!$B$1:$D$181,'Flujos Mensuales'!J80+1,FALSE)</f>
        <v>0.03459432</v>
      </c>
      <c r="D80" s="261" t="e">
        <f t="shared" si="13"/>
        <v>#DIV/0!</v>
      </c>
      <c r="E80" s="262" t="e">
        <f t="shared" si="14"/>
        <v>#DIV/0!</v>
      </c>
      <c r="F80" s="262" t="e">
        <f>ROUND(D79*ROUND(((1+'CALCULADORA TIPS E-6'!$C$14)^(1/12)-1),6),6)</f>
        <v>#DIV/0!</v>
      </c>
      <c r="G80" s="262" t="e">
        <f t="shared" si="15"/>
        <v>#DIV/0!</v>
      </c>
      <c r="H80" s="186">
        <f>IF($B80=0,0,G80/POWER(1+'CALCULADORA TIPS E-6'!$F$11,'Flujos Mensuales'!$B80/365))</f>
        <v>0</v>
      </c>
      <c r="I80" s="187">
        <f t="shared" si="12"/>
        <v>40715</v>
      </c>
      <c r="J80" s="188">
        <v>78</v>
      </c>
      <c r="K80" s="189">
        <f t="shared" si="16"/>
        <v>2372</v>
      </c>
      <c r="L80" s="190" t="e">
        <f t="shared" si="17"/>
        <v>#DIV/0!</v>
      </c>
      <c r="M80" s="191" t="e">
        <f t="shared" si="18"/>
        <v>#DIV/0!</v>
      </c>
      <c r="N80" s="191" t="e">
        <f t="shared" si="19"/>
        <v>#DIV/0!</v>
      </c>
      <c r="O80" s="192" t="e">
        <f t="shared" si="20"/>
        <v>#DIV/0!</v>
      </c>
    </row>
    <row r="81" spans="1:15" s="193" customFormat="1" ht="12.75">
      <c r="A81" s="181">
        <f t="shared" si="11"/>
        <v>40745</v>
      </c>
      <c r="B81" s="182">
        <f>IF(DIAS365('CALCULADORA TIPS E-6'!$E$6,A81)&lt;0,0,DIAS365('CALCULADORA TIPS E-6'!$E$6,A81))</f>
        <v>0</v>
      </c>
      <c r="C81" s="278">
        <f>+HLOOKUP('CALCULADORA TIPS E-6'!$E$4,Tablas!$B$1:$D$181,'Flujos Mensuales'!J81+1,FALSE)</f>
        <v>0.03654468</v>
      </c>
      <c r="D81" s="279" t="e">
        <f t="shared" si="13"/>
        <v>#DIV/0!</v>
      </c>
      <c r="E81" s="279" t="e">
        <f t="shared" si="14"/>
        <v>#DIV/0!</v>
      </c>
      <c r="F81" s="279" t="e">
        <f>ROUND(D80*ROUND(((1+'CALCULADORA TIPS E-6'!$C$14)^(1/12)-1),6),6)</f>
        <v>#DIV/0!</v>
      </c>
      <c r="G81" s="279" t="e">
        <f t="shared" si="15"/>
        <v>#DIV/0!</v>
      </c>
      <c r="H81" s="186">
        <f>IF($B81=0,0,G81/POWER(1+'CALCULADORA TIPS E-6'!$F$11,'Flujos Mensuales'!$B81/365))</f>
        <v>0</v>
      </c>
      <c r="I81" s="187">
        <f t="shared" si="12"/>
        <v>40745</v>
      </c>
      <c r="J81" s="188">
        <v>79</v>
      </c>
      <c r="K81" s="189">
        <f t="shared" si="16"/>
        <v>2402</v>
      </c>
      <c r="L81" s="190" t="e">
        <f t="shared" si="17"/>
        <v>#DIV/0!</v>
      </c>
      <c r="M81" s="191" t="e">
        <f t="shared" si="18"/>
        <v>#DIV/0!</v>
      </c>
      <c r="N81" s="191" t="e">
        <f t="shared" si="19"/>
        <v>#DIV/0!</v>
      </c>
      <c r="O81" s="192" t="e">
        <f t="shared" si="20"/>
        <v>#DIV/0!</v>
      </c>
    </row>
    <row r="82" spans="1:15" s="218" customFormat="1" ht="12.75">
      <c r="A82" s="229">
        <f t="shared" si="11"/>
        <v>40776</v>
      </c>
      <c r="B82" s="230">
        <f>IF(DIAS365('CALCULADORA TIPS E-6'!$E$6,A82)&lt;0,0,DIAS365('CALCULADORA TIPS E-6'!$E$6,A82))</f>
        <v>0</v>
      </c>
      <c r="C82" s="280">
        <f>+HLOOKUP('CALCULADORA TIPS E-6'!$E$4,Tablas!$B$1:$D$181,'Flujos Mensuales'!J82+1,FALSE)</f>
        <v>0.0183542</v>
      </c>
      <c r="D82" s="281" t="e">
        <f t="shared" si="13"/>
        <v>#DIV/0!</v>
      </c>
      <c r="E82" s="282" t="e">
        <f t="shared" si="14"/>
        <v>#DIV/0!</v>
      </c>
      <c r="F82" s="282" t="e">
        <f>ROUND(D81*ROUND(((1+'CALCULADORA TIPS E-6'!$C$14)^(1/12)-1),6),6)</f>
        <v>#DIV/0!</v>
      </c>
      <c r="G82" s="282" t="e">
        <f t="shared" si="15"/>
        <v>#DIV/0!</v>
      </c>
      <c r="H82" s="231">
        <f>IF($B82=0,0,G82/POWER(1+'CALCULADORA TIPS E-6'!$F$11,'Flujos Mensuales'!$B82/365))</f>
        <v>0</v>
      </c>
      <c r="I82" s="232">
        <f t="shared" si="12"/>
        <v>40776</v>
      </c>
      <c r="J82" s="233">
        <v>80</v>
      </c>
      <c r="K82" s="234">
        <f t="shared" si="16"/>
        <v>2433</v>
      </c>
      <c r="L82" s="235" t="e">
        <f t="shared" si="17"/>
        <v>#DIV/0!</v>
      </c>
      <c r="M82" s="236" t="e">
        <f t="shared" si="18"/>
        <v>#DIV/0!</v>
      </c>
      <c r="N82" s="236" t="e">
        <f t="shared" si="19"/>
        <v>#DIV/0!</v>
      </c>
      <c r="O82" s="237" t="e">
        <f t="shared" si="20"/>
        <v>#DIV/0!</v>
      </c>
    </row>
    <row r="83" spans="1:15" ht="12.75">
      <c r="A83" s="4">
        <f t="shared" si="11"/>
        <v>40807</v>
      </c>
      <c r="B83" s="9">
        <f>IF(DIAS365('CALCULADORA TIPS E-6'!$E$6,A83)&lt;0,0,DIAS365('CALCULADORA TIPS E-6'!$E$6,A83))</f>
        <v>30</v>
      </c>
      <c r="C83" s="5">
        <f>+HLOOKUP('CALCULADORA TIPS E-6'!$E$4,Tablas!$B$1:$D$181,'Flujos Mensuales'!J83+1,FALSE)</f>
        <v>0</v>
      </c>
      <c r="D83" s="14" t="e">
        <f t="shared" si="13"/>
        <v>#DIV/0!</v>
      </c>
      <c r="E83" s="15" t="e">
        <f t="shared" si="14"/>
        <v>#DIV/0!</v>
      </c>
      <c r="F83" s="15" t="e">
        <f>ROUND(D82*ROUND(((1+'CALCULADORA TIPS E-6'!$C$14)^(1/12)-1),6),6)</f>
        <v>#DIV/0!</v>
      </c>
      <c r="G83" s="15" t="e">
        <f t="shared" si="15"/>
        <v>#DIV/0!</v>
      </c>
      <c r="H83" s="28" t="e">
        <f>IF($B83=0,0,G83/POWER(1+'CALCULADORA TIPS E-6'!$F$11,'Flujos Mensuales'!$B83/365))</f>
        <v>#DIV/0!</v>
      </c>
      <c r="I83" s="30">
        <f t="shared" si="12"/>
        <v>40807</v>
      </c>
      <c r="J83" s="25">
        <v>81</v>
      </c>
      <c r="K83" s="12">
        <f t="shared" si="16"/>
        <v>2464</v>
      </c>
      <c r="L83" s="96" t="e">
        <f t="shared" si="17"/>
        <v>#DIV/0!</v>
      </c>
      <c r="M83" s="93" t="e">
        <f t="shared" si="18"/>
        <v>#DIV/0!</v>
      </c>
      <c r="N83" s="93" t="e">
        <f t="shared" si="19"/>
        <v>#DIV/0!</v>
      </c>
      <c r="O83" s="94" t="e">
        <f t="shared" si="20"/>
        <v>#DIV/0!</v>
      </c>
    </row>
    <row r="84" spans="1:15" ht="12.75">
      <c r="A84" s="4">
        <f t="shared" si="11"/>
        <v>40837</v>
      </c>
      <c r="B84" s="9">
        <f>IF(DIAS365('CALCULADORA TIPS E-6'!$E$6,A84)&lt;0,0,DIAS365('CALCULADORA TIPS E-6'!$E$6,A84))</f>
        <v>60</v>
      </c>
      <c r="C84" s="5">
        <f>+HLOOKUP('CALCULADORA TIPS E-6'!$E$4,Tablas!$B$1:$D$181,'Flujos Mensuales'!J84+1,FALSE)</f>
        <v>0</v>
      </c>
      <c r="D84" s="14" t="e">
        <f t="shared" si="13"/>
        <v>#DIV/0!</v>
      </c>
      <c r="E84" s="15" t="e">
        <f t="shared" si="14"/>
        <v>#DIV/0!</v>
      </c>
      <c r="F84" s="15" t="e">
        <f>ROUND(D83*ROUND(((1+'CALCULADORA TIPS E-6'!$C$14)^(1/12)-1),6),6)</f>
        <v>#DIV/0!</v>
      </c>
      <c r="G84" s="15" t="e">
        <f t="shared" si="15"/>
        <v>#DIV/0!</v>
      </c>
      <c r="H84" s="28" t="e">
        <f>IF($B84=0,0,G84/POWER(1+'CALCULADORA TIPS E-6'!$F$11,'Flujos Mensuales'!$B84/365))</f>
        <v>#DIV/0!</v>
      </c>
      <c r="I84" s="30">
        <f t="shared" si="12"/>
        <v>40837</v>
      </c>
      <c r="J84" s="25">
        <v>82</v>
      </c>
      <c r="K84" s="12">
        <f t="shared" si="16"/>
        <v>2494</v>
      </c>
      <c r="L84" s="96" t="e">
        <f t="shared" si="17"/>
        <v>#DIV/0!</v>
      </c>
      <c r="M84" s="93" t="e">
        <f t="shared" si="18"/>
        <v>#DIV/0!</v>
      </c>
      <c r="N84" s="93" t="e">
        <f t="shared" si="19"/>
        <v>#DIV/0!</v>
      </c>
      <c r="O84" s="94" t="e">
        <f t="shared" si="20"/>
        <v>#DIV/0!</v>
      </c>
    </row>
    <row r="85" spans="1:15" ht="12.75">
      <c r="A85" s="4">
        <f t="shared" si="11"/>
        <v>40868</v>
      </c>
      <c r="B85" s="9">
        <f>IF(DIAS365('CALCULADORA TIPS E-6'!$E$6,A85)&lt;0,0,DIAS365('CALCULADORA TIPS E-6'!$E$6,A85))</f>
        <v>91</v>
      </c>
      <c r="C85" s="5">
        <f>+HLOOKUP('CALCULADORA TIPS E-6'!$E$4,Tablas!$B$1:$D$181,'Flujos Mensuales'!J85+1,FALSE)</f>
        <v>0</v>
      </c>
      <c r="D85" s="14" t="e">
        <f t="shared" si="13"/>
        <v>#DIV/0!</v>
      </c>
      <c r="E85" s="15" t="e">
        <f t="shared" si="14"/>
        <v>#DIV/0!</v>
      </c>
      <c r="F85" s="15" t="e">
        <f>ROUND(D84*ROUND(((1+'CALCULADORA TIPS E-6'!$C$14)^(1/12)-1),6),6)</f>
        <v>#DIV/0!</v>
      </c>
      <c r="G85" s="15" t="e">
        <f t="shared" si="15"/>
        <v>#DIV/0!</v>
      </c>
      <c r="H85" s="28" t="e">
        <f>IF($B85=0,0,G85/POWER(1+'CALCULADORA TIPS E-6'!$F$11,'Flujos Mensuales'!$B85/365))</f>
        <v>#DIV/0!</v>
      </c>
      <c r="I85" s="30">
        <f t="shared" si="12"/>
        <v>40868</v>
      </c>
      <c r="J85" s="25">
        <v>83</v>
      </c>
      <c r="K85" s="12">
        <f t="shared" si="16"/>
        <v>2525</v>
      </c>
      <c r="L85" s="96" t="e">
        <f t="shared" si="17"/>
        <v>#DIV/0!</v>
      </c>
      <c r="M85" s="93" t="e">
        <f t="shared" si="18"/>
        <v>#DIV/0!</v>
      </c>
      <c r="N85" s="93" t="e">
        <f t="shared" si="19"/>
        <v>#DIV/0!</v>
      </c>
      <c r="O85" s="94" t="e">
        <f t="shared" si="20"/>
        <v>#DIV/0!</v>
      </c>
    </row>
    <row r="86" spans="1:15" ht="12.75">
      <c r="A86" s="4">
        <f t="shared" si="11"/>
        <v>40898</v>
      </c>
      <c r="B86" s="9">
        <f>IF(DIAS365('CALCULADORA TIPS E-6'!$E$6,A86)&lt;0,0,DIAS365('CALCULADORA TIPS E-6'!$E$6,A86))</f>
        <v>121</v>
      </c>
      <c r="C86" s="5">
        <f>+HLOOKUP('CALCULADORA TIPS E-6'!$E$4,Tablas!$B$1:$D$181,'Flujos Mensuales'!J86+1,FALSE)</f>
        <v>0</v>
      </c>
      <c r="D86" s="14" t="e">
        <f t="shared" si="13"/>
        <v>#DIV/0!</v>
      </c>
      <c r="E86" s="15" t="e">
        <f t="shared" si="14"/>
        <v>#DIV/0!</v>
      </c>
      <c r="F86" s="15" t="e">
        <f>ROUND(D85*ROUND(((1+'CALCULADORA TIPS E-6'!$C$14)^(1/12)-1),6),6)</f>
        <v>#DIV/0!</v>
      </c>
      <c r="G86" s="15" t="e">
        <f t="shared" si="15"/>
        <v>#DIV/0!</v>
      </c>
      <c r="H86" s="28" t="e">
        <f>IF($B86=0,0,G86/POWER(1+'CALCULADORA TIPS E-6'!$F$11,'Flujos Mensuales'!$B86/365))</f>
        <v>#DIV/0!</v>
      </c>
      <c r="I86" s="30">
        <f t="shared" si="12"/>
        <v>40898</v>
      </c>
      <c r="J86" s="25">
        <v>84</v>
      </c>
      <c r="K86" s="12">
        <f t="shared" si="16"/>
        <v>2555</v>
      </c>
      <c r="L86" s="96" t="e">
        <f t="shared" si="17"/>
        <v>#DIV/0!</v>
      </c>
      <c r="M86" s="93" t="e">
        <f t="shared" si="18"/>
        <v>#DIV/0!</v>
      </c>
      <c r="N86" s="93" t="e">
        <f t="shared" si="19"/>
        <v>#DIV/0!</v>
      </c>
      <c r="O86" s="94" t="e">
        <f t="shared" si="20"/>
        <v>#DIV/0!</v>
      </c>
    </row>
    <row r="87" spans="1:15" ht="12.75">
      <c r="A87" s="4">
        <f t="shared" si="11"/>
        <v>40929</v>
      </c>
      <c r="B87" s="9">
        <f>IF(DIAS365('CALCULADORA TIPS E-6'!$E$6,A87)&lt;0,0,DIAS365('CALCULADORA TIPS E-6'!$E$6,A87))</f>
        <v>152</v>
      </c>
      <c r="C87" s="5">
        <f>+HLOOKUP('CALCULADORA TIPS E-6'!$E$4,Tablas!$B$1:$D$181,'Flujos Mensuales'!J87+1,FALSE)</f>
        <v>0</v>
      </c>
      <c r="D87" s="14" t="e">
        <f t="shared" si="13"/>
        <v>#DIV/0!</v>
      </c>
      <c r="E87" s="15" t="e">
        <f t="shared" si="14"/>
        <v>#DIV/0!</v>
      </c>
      <c r="F87" s="15" t="e">
        <f>ROUND(D86*ROUND(((1+'CALCULADORA TIPS E-6'!$C$14)^(1/12)-1),6),6)</f>
        <v>#DIV/0!</v>
      </c>
      <c r="G87" s="15" t="e">
        <f t="shared" si="15"/>
        <v>#DIV/0!</v>
      </c>
      <c r="H87" s="28" t="e">
        <f>IF($B87=0,0,G87/POWER(1+'CALCULADORA TIPS E-6'!$F$11,'Flujos Mensuales'!$B87/365))</f>
        <v>#DIV/0!</v>
      </c>
      <c r="I87" s="30">
        <f t="shared" si="12"/>
        <v>40929</v>
      </c>
      <c r="J87" s="25">
        <v>85</v>
      </c>
      <c r="K87" s="12">
        <f t="shared" si="16"/>
        <v>2586</v>
      </c>
      <c r="L87" s="96" t="e">
        <f t="shared" si="17"/>
        <v>#DIV/0!</v>
      </c>
      <c r="M87" s="93" t="e">
        <f t="shared" si="18"/>
        <v>#DIV/0!</v>
      </c>
      <c r="N87" s="93" t="e">
        <f t="shared" si="19"/>
        <v>#DIV/0!</v>
      </c>
      <c r="O87" s="94" t="e">
        <f t="shared" si="20"/>
        <v>#DIV/0!</v>
      </c>
    </row>
    <row r="88" spans="1:15" ht="12.75">
      <c r="A88" s="4">
        <f t="shared" si="11"/>
        <v>40960</v>
      </c>
      <c r="B88" s="9">
        <f>IF(DIAS365('CALCULADORA TIPS E-6'!$E$6,A88)&lt;0,0,DIAS365('CALCULADORA TIPS E-6'!$E$6,A88))</f>
        <v>183</v>
      </c>
      <c r="C88" s="5">
        <f>+HLOOKUP('CALCULADORA TIPS E-6'!$E$4,Tablas!$B$1:$D$181,'Flujos Mensuales'!J88+1,FALSE)</f>
        <v>0</v>
      </c>
      <c r="D88" s="14" t="e">
        <f t="shared" si="13"/>
        <v>#DIV/0!</v>
      </c>
      <c r="E88" s="15" t="e">
        <f t="shared" si="14"/>
        <v>#DIV/0!</v>
      </c>
      <c r="F88" s="15" t="e">
        <f>ROUND(D87*ROUND(((1+'CALCULADORA TIPS E-6'!$C$14)^(1/12)-1),6),6)</f>
        <v>#DIV/0!</v>
      </c>
      <c r="G88" s="15" t="e">
        <f t="shared" si="15"/>
        <v>#DIV/0!</v>
      </c>
      <c r="H88" s="28" t="e">
        <f>IF($B88=0,0,G88/POWER(1+'CALCULADORA TIPS E-6'!$F$11,'Flujos Mensuales'!$B88/365))</f>
        <v>#DIV/0!</v>
      </c>
      <c r="I88" s="30">
        <f t="shared" si="12"/>
        <v>40960</v>
      </c>
      <c r="J88" s="25">
        <v>86</v>
      </c>
      <c r="K88" s="12">
        <f t="shared" si="16"/>
        <v>2617</v>
      </c>
      <c r="L88" s="96" t="e">
        <f t="shared" si="17"/>
        <v>#DIV/0!</v>
      </c>
      <c r="M88" s="93" t="e">
        <f t="shared" si="18"/>
        <v>#DIV/0!</v>
      </c>
      <c r="N88" s="93" t="e">
        <f t="shared" si="19"/>
        <v>#DIV/0!</v>
      </c>
      <c r="O88" s="94" t="e">
        <f t="shared" si="20"/>
        <v>#DIV/0!</v>
      </c>
    </row>
    <row r="89" spans="1:15" ht="12.75">
      <c r="A89" s="4">
        <f t="shared" si="11"/>
        <v>40989</v>
      </c>
      <c r="B89" s="9">
        <f>IF(DIAS365('CALCULADORA TIPS E-6'!$E$6,A89)&lt;0,0,DIAS365('CALCULADORA TIPS E-6'!$E$6,A89))</f>
        <v>211</v>
      </c>
      <c r="C89" s="5">
        <f>+HLOOKUP('CALCULADORA TIPS E-6'!$E$4,Tablas!$B$1:$D$181,'Flujos Mensuales'!J89+1,FALSE)</f>
        <v>0</v>
      </c>
      <c r="D89" s="14" t="e">
        <f t="shared" si="13"/>
        <v>#DIV/0!</v>
      </c>
      <c r="E89" s="15" t="e">
        <f t="shared" si="14"/>
        <v>#DIV/0!</v>
      </c>
      <c r="F89" s="15" t="e">
        <f>ROUND(D88*ROUND(((1+'CALCULADORA TIPS E-6'!$C$14)^(1/12)-1),6),6)</f>
        <v>#DIV/0!</v>
      </c>
      <c r="G89" s="15" t="e">
        <f t="shared" si="15"/>
        <v>#DIV/0!</v>
      </c>
      <c r="H89" s="28" t="e">
        <f>IF($B89=0,0,G89/POWER(1+'CALCULADORA TIPS E-6'!$F$11,'Flujos Mensuales'!$B89/365))</f>
        <v>#DIV/0!</v>
      </c>
      <c r="I89" s="30">
        <f t="shared" si="12"/>
        <v>40989</v>
      </c>
      <c r="J89" s="25">
        <v>87</v>
      </c>
      <c r="K89" s="12">
        <f t="shared" si="16"/>
        <v>2645</v>
      </c>
      <c r="L89" s="96" t="e">
        <f t="shared" si="17"/>
        <v>#DIV/0!</v>
      </c>
      <c r="M89" s="93" t="e">
        <f t="shared" si="18"/>
        <v>#DIV/0!</v>
      </c>
      <c r="N89" s="93" t="e">
        <f t="shared" si="19"/>
        <v>#DIV/0!</v>
      </c>
      <c r="O89" s="94" t="e">
        <f t="shared" si="20"/>
        <v>#DIV/0!</v>
      </c>
    </row>
    <row r="90" spans="1:15" ht="12.75">
      <c r="A90" s="4">
        <f t="shared" si="11"/>
        <v>41020</v>
      </c>
      <c r="B90" s="9">
        <f>IF(DIAS365('CALCULADORA TIPS E-6'!$E$6,A90)&lt;0,0,DIAS365('CALCULADORA TIPS E-6'!$E$6,A90))</f>
        <v>242</v>
      </c>
      <c r="C90" s="5">
        <f>+HLOOKUP('CALCULADORA TIPS E-6'!$E$4,Tablas!$B$1:$D$181,'Flujos Mensuales'!J90+1,FALSE)</f>
        <v>0</v>
      </c>
      <c r="D90" s="14" t="e">
        <f t="shared" si="13"/>
        <v>#DIV/0!</v>
      </c>
      <c r="E90" s="15" t="e">
        <f t="shared" si="14"/>
        <v>#DIV/0!</v>
      </c>
      <c r="F90" s="15" t="e">
        <f>ROUND(D89*ROUND(((1+'CALCULADORA TIPS E-6'!$C$14)^(1/12)-1),6),6)</f>
        <v>#DIV/0!</v>
      </c>
      <c r="G90" s="15" t="e">
        <f t="shared" si="15"/>
        <v>#DIV/0!</v>
      </c>
      <c r="H90" s="28" t="e">
        <f>IF($B90=0,0,G90/POWER(1+'CALCULADORA TIPS E-6'!$F$11,'Flujos Mensuales'!$B90/365))</f>
        <v>#DIV/0!</v>
      </c>
      <c r="I90" s="30">
        <f t="shared" si="12"/>
        <v>41020</v>
      </c>
      <c r="J90" s="25">
        <v>88</v>
      </c>
      <c r="K90" s="12">
        <f t="shared" si="16"/>
        <v>2676</v>
      </c>
      <c r="L90" s="96" t="e">
        <f t="shared" si="17"/>
        <v>#DIV/0!</v>
      </c>
      <c r="M90" s="93" t="e">
        <f t="shared" si="18"/>
        <v>#DIV/0!</v>
      </c>
      <c r="N90" s="93" t="e">
        <f t="shared" si="19"/>
        <v>#DIV/0!</v>
      </c>
      <c r="O90" s="94" t="e">
        <f t="shared" si="20"/>
        <v>#DIV/0!</v>
      </c>
    </row>
    <row r="91" spans="1:15" ht="12.75">
      <c r="A91" s="4">
        <f t="shared" si="11"/>
        <v>41050</v>
      </c>
      <c r="B91" s="9">
        <f>IF(DIAS365('CALCULADORA TIPS E-6'!$E$6,A91)&lt;0,0,DIAS365('CALCULADORA TIPS E-6'!$E$6,A91))</f>
        <v>272</v>
      </c>
      <c r="C91" s="5">
        <f>+HLOOKUP('CALCULADORA TIPS E-6'!$E$4,Tablas!$B$1:$D$181,'Flujos Mensuales'!J91+1,FALSE)</f>
        <v>0</v>
      </c>
      <c r="D91" s="14" t="e">
        <f t="shared" si="13"/>
        <v>#DIV/0!</v>
      </c>
      <c r="E91" s="15" t="e">
        <f t="shared" si="14"/>
        <v>#DIV/0!</v>
      </c>
      <c r="F91" s="15" t="e">
        <f>ROUND(D90*ROUND(((1+'CALCULADORA TIPS E-6'!$C$14)^(1/12)-1),6),6)</f>
        <v>#DIV/0!</v>
      </c>
      <c r="G91" s="15" t="e">
        <f t="shared" si="15"/>
        <v>#DIV/0!</v>
      </c>
      <c r="H91" s="28" t="e">
        <f>IF($B91=0,0,G91/POWER(1+'CALCULADORA TIPS E-6'!$F$11,'Flujos Mensuales'!$B91/365))</f>
        <v>#DIV/0!</v>
      </c>
      <c r="I91" s="30">
        <f t="shared" si="12"/>
        <v>41050</v>
      </c>
      <c r="J91" s="25">
        <v>89</v>
      </c>
      <c r="K91" s="12">
        <f t="shared" si="16"/>
        <v>2706</v>
      </c>
      <c r="L91" s="96" t="e">
        <f t="shared" si="17"/>
        <v>#DIV/0!</v>
      </c>
      <c r="M91" s="93" t="e">
        <f t="shared" si="18"/>
        <v>#DIV/0!</v>
      </c>
      <c r="N91" s="93" t="e">
        <f t="shared" si="19"/>
        <v>#DIV/0!</v>
      </c>
      <c r="O91" s="94" t="e">
        <f t="shared" si="20"/>
        <v>#DIV/0!</v>
      </c>
    </row>
    <row r="92" spans="1:15" ht="12.75">
      <c r="A92" s="4">
        <f t="shared" si="11"/>
        <v>41081</v>
      </c>
      <c r="B92" s="9">
        <f>IF(DIAS365('CALCULADORA TIPS E-6'!$E$6,A92)&lt;0,0,DIAS365('CALCULADORA TIPS E-6'!$E$6,A92))</f>
        <v>303</v>
      </c>
      <c r="C92" s="5">
        <f>+HLOOKUP('CALCULADORA TIPS E-6'!$E$4,Tablas!$B$1:$D$181,'Flujos Mensuales'!J92+1,FALSE)</f>
        <v>0</v>
      </c>
      <c r="D92" s="14" t="e">
        <f t="shared" si="13"/>
        <v>#DIV/0!</v>
      </c>
      <c r="E92" s="15" t="e">
        <f t="shared" si="14"/>
        <v>#DIV/0!</v>
      </c>
      <c r="F92" s="15" t="e">
        <f>ROUND(D91*ROUND(((1+'CALCULADORA TIPS E-6'!$C$14)^(1/12)-1),6),6)</f>
        <v>#DIV/0!</v>
      </c>
      <c r="G92" s="15" t="e">
        <f t="shared" si="15"/>
        <v>#DIV/0!</v>
      </c>
      <c r="H92" s="28" t="e">
        <f>IF($B92=0,0,G92/POWER(1+'CALCULADORA TIPS E-6'!$F$11,'Flujos Mensuales'!$B92/365))</f>
        <v>#DIV/0!</v>
      </c>
      <c r="I92" s="30">
        <f t="shared" si="12"/>
        <v>41081</v>
      </c>
      <c r="J92" s="25">
        <v>90</v>
      </c>
      <c r="K92" s="12">
        <f t="shared" si="16"/>
        <v>2737</v>
      </c>
      <c r="L92" s="96" t="e">
        <f t="shared" si="17"/>
        <v>#DIV/0!</v>
      </c>
      <c r="M92" s="93" t="e">
        <f t="shared" si="18"/>
        <v>#DIV/0!</v>
      </c>
      <c r="N92" s="93" t="e">
        <f t="shared" si="19"/>
        <v>#DIV/0!</v>
      </c>
      <c r="O92" s="94" t="e">
        <f t="shared" si="20"/>
        <v>#DIV/0!</v>
      </c>
    </row>
    <row r="93" spans="1:15" ht="12.75">
      <c r="A93" s="4">
        <f t="shared" si="11"/>
        <v>41111</v>
      </c>
      <c r="B93" s="9">
        <f>IF(DIAS365('CALCULADORA TIPS E-6'!$E$6,A93)&lt;0,0,DIAS365('CALCULADORA TIPS E-6'!$E$6,A93))</f>
        <v>333</v>
      </c>
      <c r="C93" s="5">
        <f>+HLOOKUP('CALCULADORA TIPS E-6'!$E$4,Tablas!$B$1:$D$181,'Flujos Mensuales'!J93+1,FALSE)</f>
        <v>0</v>
      </c>
      <c r="D93" s="14" t="e">
        <f t="shared" si="13"/>
        <v>#DIV/0!</v>
      </c>
      <c r="E93" s="15" t="e">
        <f t="shared" si="14"/>
        <v>#DIV/0!</v>
      </c>
      <c r="F93" s="15" t="e">
        <f>ROUND(D92*ROUND(((1+'CALCULADORA TIPS E-6'!$C$14)^(1/12)-1),6),6)</f>
        <v>#DIV/0!</v>
      </c>
      <c r="G93" s="15" t="e">
        <f t="shared" si="15"/>
        <v>#DIV/0!</v>
      </c>
      <c r="H93" s="28" t="e">
        <f>IF($B93=0,0,G93/POWER(1+'CALCULADORA TIPS E-6'!$F$11,'Flujos Mensuales'!$B93/365))</f>
        <v>#DIV/0!</v>
      </c>
      <c r="I93" s="30">
        <f t="shared" si="12"/>
        <v>41111</v>
      </c>
      <c r="J93" s="25">
        <v>91</v>
      </c>
      <c r="K93" s="12">
        <f t="shared" si="16"/>
        <v>2767</v>
      </c>
      <c r="L93" s="96" t="e">
        <f t="shared" si="17"/>
        <v>#DIV/0!</v>
      </c>
      <c r="M93" s="93" t="e">
        <f t="shared" si="18"/>
        <v>#DIV/0!</v>
      </c>
      <c r="N93" s="93" t="e">
        <f t="shared" si="19"/>
        <v>#DIV/0!</v>
      </c>
      <c r="O93" s="94" t="e">
        <f t="shared" si="20"/>
        <v>#DIV/0!</v>
      </c>
    </row>
    <row r="94" spans="1:15" ht="12.75">
      <c r="A94" s="4">
        <f t="shared" si="11"/>
        <v>41142</v>
      </c>
      <c r="B94" s="9">
        <f>IF(DIAS365('CALCULADORA TIPS E-6'!$E$6,A94)&lt;0,0,DIAS365('CALCULADORA TIPS E-6'!$E$6,A94))</f>
        <v>364</v>
      </c>
      <c r="C94" s="5">
        <f>+HLOOKUP('CALCULADORA TIPS E-6'!$E$4,Tablas!$B$1:$D$181,'Flujos Mensuales'!J94+1,FALSE)</f>
        <v>0</v>
      </c>
      <c r="D94" s="14" t="e">
        <f t="shared" si="13"/>
        <v>#DIV/0!</v>
      </c>
      <c r="E94" s="15" t="e">
        <f t="shared" si="14"/>
        <v>#DIV/0!</v>
      </c>
      <c r="F94" s="15" t="e">
        <f>ROUND(D93*ROUND(((1+'CALCULADORA TIPS E-6'!$C$14)^(1/12)-1),6),6)</f>
        <v>#DIV/0!</v>
      </c>
      <c r="G94" s="15" t="e">
        <f t="shared" si="15"/>
        <v>#DIV/0!</v>
      </c>
      <c r="H94" s="28" t="e">
        <f>IF($B94=0,0,G94/POWER(1+'CALCULADORA TIPS E-6'!$F$11,'Flujos Mensuales'!$B94/365))</f>
        <v>#DIV/0!</v>
      </c>
      <c r="I94" s="30">
        <f t="shared" si="12"/>
        <v>41142</v>
      </c>
      <c r="J94" s="25">
        <v>92</v>
      </c>
      <c r="K94" s="12">
        <f t="shared" si="16"/>
        <v>2798</v>
      </c>
      <c r="L94" s="96" t="e">
        <f t="shared" si="17"/>
        <v>#DIV/0!</v>
      </c>
      <c r="M94" s="93" t="e">
        <f t="shared" si="18"/>
        <v>#DIV/0!</v>
      </c>
      <c r="N94" s="93" t="e">
        <f t="shared" si="19"/>
        <v>#DIV/0!</v>
      </c>
      <c r="O94" s="94" t="e">
        <f t="shared" si="20"/>
        <v>#DIV/0!</v>
      </c>
    </row>
    <row r="95" spans="1:15" ht="12.75">
      <c r="A95" s="4">
        <f t="shared" si="11"/>
        <v>41173</v>
      </c>
      <c r="B95" s="9">
        <f>IF(DIAS365('CALCULADORA TIPS E-6'!$E$6,A95)&lt;0,0,DIAS365('CALCULADORA TIPS E-6'!$E$6,A95))</f>
        <v>395</v>
      </c>
      <c r="C95" s="5">
        <f>+HLOOKUP('CALCULADORA TIPS E-6'!$E$4,Tablas!$B$1:$D$181,'Flujos Mensuales'!J95+1,FALSE)</f>
        <v>0</v>
      </c>
      <c r="D95" s="14" t="e">
        <f t="shared" si="13"/>
        <v>#DIV/0!</v>
      </c>
      <c r="E95" s="15" t="e">
        <f t="shared" si="14"/>
        <v>#DIV/0!</v>
      </c>
      <c r="F95" s="15" t="e">
        <f>ROUND(D94*ROUND(((1+'CALCULADORA TIPS E-6'!$C$14)^(1/12)-1),6),6)</f>
        <v>#DIV/0!</v>
      </c>
      <c r="G95" s="15" t="e">
        <f t="shared" si="15"/>
        <v>#DIV/0!</v>
      </c>
      <c r="H95" s="28" t="e">
        <f>IF($B95=0,0,G95/POWER(1+'CALCULADORA TIPS E-6'!$F$11,'Flujos Mensuales'!$B95/365))</f>
        <v>#DIV/0!</v>
      </c>
      <c r="I95" s="30">
        <f t="shared" si="12"/>
        <v>41173</v>
      </c>
      <c r="J95" s="25">
        <v>93</v>
      </c>
      <c r="K95" s="12">
        <f t="shared" si="16"/>
        <v>2829</v>
      </c>
      <c r="L95" s="96" t="e">
        <f t="shared" si="17"/>
        <v>#DIV/0!</v>
      </c>
      <c r="M95" s="93" t="e">
        <f t="shared" si="18"/>
        <v>#DIV/0!</v>
      </c>
      <c r="N95" s="93" t="e">
        <f t="shared" si="19"/>
        <v>#DIV/0!</v>
      </c>
      <c r="O95" s="94" t="e">
        <f t="shared" si="20"/>
        <v>#DIV/0!</v>
      </c>
    </row>
    <row r="96" spans="1:15" ht="12.75">
      <c r="A96" s="4">
        <f t="shared" si="11"/>
        <v>41203</v>
      </c>
      <c r="B96" s="9">
        <f>IF(DIAS365('CALCULADORA TIPS E-6'!$E$6,A96)&lt;0,0,DIAS365('CALCULADORA TIPS E-6'!$E$6,A96))</f>
        <v>425</v>
      </c>
      <c r="C96" s="5">
        <f>+HLOOKUP('CALCULADORA TIPS E-6'!$E$4,Tablas!$B$1:$D$181,'Flujos Mensuales'!J96+1,FALSE)</f>
        <v>0</v>
      </c>
      <c r="D96" s="14" t="e">
        <f t="shared" si="13"/>
        <v>#DIV/0!</v>
      </c>
      <c r="E96" s="15" t="e">
        <f t="shared" si="14"/>
        <v>#DIV/0!</v>
      </c>
      <c r="F96" s="15" t="e">
        <f>ROUND(D95*ROUND(((1+'CALCULADORA TIPS E-6'!$C$14)^(1/12)-1),6),6)</f>
        <v>#DIV/0!</v>
      </c>
      <c r="G96" s="15" t="e">
        <f t="shared" si="15"/>
        <v>#DIV/0!</v>
      </c>
      <c r="H96" s="28" t="e">
        <f>IF($B96=0,0,G96/POWER(1+'CALCULADORA TIPS E-6'!$F$11,'Flujos Mensuales'!$B96/365))</f>
        <v>#DIV/0!</v>
      </c>
      <c r="I96" s="30">
        <f t="shared" si="12"/>
        <v>41203</v>
      </c>
      <c r="J96" s="25">
        <v>94</v>
      </c>
      <c r="K96" s="12">
        <f t="shared" si="16"/>
        <v>2859</v>
      </c>
      <c r="L96" s="96" t="e">
        <f t="shared" si="17"/>
        <v>#DIV/0!</v>
      </c>
      <c r="M96" s="93" t="e">
        <f t="shared" si="18"/>
        <v>#DIV/0!</v>
      </c>
      <c r="N96" s="93" t="e">
        <f t="shared" si="19"/>
        <v>#DIV/0!</v>
      </c>
      <c r="O96" s="94" t="e">
        <f t="shared" si="20"/>
        <v>#DIV/0!</v>
      </c>
    </row>
    <row r="97" spans="1:15" ht="12.75">
      <c r="A97" s="4">
        <f t="shared" si="11"/>
        <v>41234</v>
      </c>
      <c r="B97" s="9">
        <f>IF(DIAS365('CALCULADORA TIPS E-6'!$E$6,A97)&lt;0,0,DIAS365('CALCULADORA TIPS E-6'!$E$6,A97))</f>
        <v>456</v>
      </c>
      <c r="C97" s="5">
        <f>+HLOOKUP('CALCULADORA TIPS E-6'!$E$4,Tablas!$B$1:$D$181,'Flujos Mensuales'!J97+1,FALSE)</f>
        <v>0</v>
      </c>
      <c r="D97" s="14" t="e">
        <f t="shared" si="13"/>
        <v>#DIV/0!</v>
      </c>
      <c r="E97" s="15" t="e">
        <f t="shared" si="14"/>
        <v>#DIV/0!</v>
      </c>
      <c r="F97" s="15" t="e">
        <f>ROUND(D96*ROUND(((1+'CALCULADORA TIPS E-6'!$C$14)^(1/12)-1),6),6)</f>
        <v>#DIV/0!</v>
      </c>
      <c r="G97" s="15" t="e">
        <f t="shared" si="15"/>
        <v>#DIV/0!</v>
      </c>
      <c r="H97" s="28" t="e">
        <f>IF($B97=0,0,G97/POWER(1+'CALCULADORA TIPS E-6'!$F$11,'Flujos Mensuales'!$B97/365))</f>
        <v>#DIV/0!</v>
      </c>
      <c r="I97" s="30">
        <f t="shared" si="12"/>
        <v>41234</v>
      </c>
      <c r="J97" s="25">
        <v>95</v>
      </c>
      <c r="K97" s="12">
        <f t="shared" si="16"/>
        <v>2890</v>
      </c>
      <c r="L97" s="96" t="e">
        <f t="shared" si="17"/>
        <v>#DIV/0!</v>
      </c>
      <c r="M97" s="93" t="e">
        <f t="shared" si="18"/>
        <v>#DIV/0!</v>
      </c>
      <c r="N97" s="93" t="e">
        <f t="shared" si="19"/>
        <v>#DIV/0!</v>
      </c>
      <c r="O97" s="94" t="e">
        <f t="shared" si="20"/>
        <v>#DIV/0!</v>
      </c>
    </row>
    <row r="98" spans="1:15" ht="12.75">
      <c r="A98" s="4">
        <f t="shared" si="11"/>
        <v>41264</v>
      </c>
      <c r="B98" s="9">
        <f>IF(DIAS365('CALCULADORA TIPS E-6'!$E$6,A98)&lt;0,0,DIAS365('CALCULADORA TIPS E-6'!$E$6,A98))</f>
        <v>486</v>
      </c>
      <c r="C98" s="5">
        <f>+HLOOKUP('CALCULADORA TIPS E-6'!$E$4,Tablas!$B$1:$D$181,'Flujos Mensuales'!J98+1,FALSE)</f>
        <v>0</v>
      </c>
      <c r="D98" s="14" t="e">
        <f t="shared" si="13"/>
        <v>#DIV/0!</v>
      </c>
      <c r="E98" s="15" t="e">
        <f t="shared" si="14"/>
        <v>#DIV/0!</v>
      </c>
      <c r="F98" s="15" t="e">
        <f>ROUND(D97*ROUND(((1+'CALCULADORA TIPS E-6'!$C$14)^(1/12)-1),6),6)</f>
        <v>#DIV/0!</v>
      </c>
      <c r="G98" s="15" t="e">
        <f t="shared" si="15"/>
        <v>#DIV/0!</v>
      </c>
      <c r="H98" s="28" t="e">
        <f>IF($B98=0,0,G98/POWER(1+'CALCULADORA TIPS E-6'!$F$11,'Flujos Mensuales'!$B98/365))</f>
        <v>#DIV/0!</v>
      </c>
      <c r="I98" s="30">
        <f t="shared" si="12"/>
        <v>41264</v>
      </c>
      <c r="J98" s="25">
        <v>96</v>
      </c>
      <c r="K98" s="12">
        <f t="shared" si="16"/>
        <v>2920</v>
      </c>
      <c r="L98" s="96" t="e">
        <f t="shared" si="17"/>
        <v>#DIV/0!</v>
      </c>
      <c r="M98" s="93" t="e">
        <f t="shared" si="18"/>
        <v>#DIV/0!</v>
      </c>
      <c r="N98" s="93" t="e">
        <f t="shared" si="19"/>
        <v>#DIV/0!</v>
      </c>
      <c r="O98" s="94" t="e">
        <f t="shared" si="20"/>
        <v>#DIV/0!</v>
      </c>
    </row>
    <row r="99" spans="1:15" ht="12.75">
      <c r="A99" s="4">
        <f aca="true" t="shared" si="21" ref="A99:A130">_XLL.FECHA.MES(A98,1)</f>
        <v>41295</v>
      </c>
      <c r="B99" s="9">
        <f>IF(DIAS365('CALCULADORA TIPS E-6'!$E$6,A99)&lt;0,0,DIAS365('CALCULADORA TIPS E-6'!$E$6,A99))</f>
        <v>517</v>
      </c>
      <c r="C99" s="5">
        <f>+HLOOKUP('CALCULADORA TIPS E-6'!$E$4,Tablas!$B$1:$D$181,'Flujos Mensuales'!J99+1,FALSE)</f>
        <v>0</v>
      </c>
      <c r="D99" s="14" t="e">
        <f t="shared" si="13"/>
        <v>#DIV/0!</v>
      </c>
      <c r="E99" s="15" t="e">
        <f t="shared" si="14"/>
        <v>#DIV/0!</v>
      </c>
      <c r="F99" s="15" t="e">
        <f>ROUND(D98*ROUND(((1+'CALCULADORA TIPS E-6'!$C$14)^(1/12)-1),6),6)</f>
        <v>#DIV/0!</v>
      </c>
      <c r="G99" s="15" t="e">
        <f t="shared" si="15"/>
        <v>#DIV/0!</v>
      </c>
      <c r="H99" s="28" t="e">
        <f>IF($B99=0,0,G99/POWER(1+'CALCULADORA TIPS E-6'!$F$11,'Flujos Mensuales'!$B99/365))</f>
        <v>#DIV/0!</v>
      </c>
      <c r="I99" s="30">
        <f t="shared" si="12"/>
        <v>41295</v>
      </c>
      <c r="J99" s="25">
        <v>97</v>
      </c>
      <c r="K99" s="12">
        <f t="shared" si="16"/>
        <v>2951</v>
      </c>
      <c r="L99" s="96" t="e">
        <f t="shared" si="17"/>
        <v>#DIV/0!</v>
      </c>
      <c r="M99" s="93" t="e">
        <f t="shared" si="18"/>
        <v>#DIV/0!</v>
      </c>
      <c r="N99" s="93" t="e">
        <f t="shared" si="19"/>
        <v>#DIV/0!</v>
      </c>
      <c r="O99" s="94" t="e">
        <f t="shared" si="20"/>
        <v>#DIV/0!</v>
      </c>
    </row>
    <row r="100" spans="1:15" ht="12.75">
      <c r="A100" s="4">
        <f t="shared" si="21"/>
        <v>41326</v>
      </c>
      <c r="B100" s="9">
        <f>IF(DIAS365('CALCULADORA TIPS E-6'!$E$6,A100)&lt;0,0,DIAS365('CALCULADORA TIPS E-6'!$E$6,A100))</f>
        <v>548</v>
      </c>
      <c r="C100" s="5">
        <f>+HLOOKUP('CALCULADORA TIPS E-6'!$E$4,Tablas!$B$1:$D$181,'Flujos Mensuales'!J100+1,FALSE)</f>
        <v>0</v>
      </c>
      <c r="D100" s="14" t="e">
        <f t="shared" si="13"/>
        <v>#DIV/0!</v>
      </c>
      <c r="E100" s="15" t="e">
        <f t="shared" si="14"/>
        <v>#DIV/0!</v>
      </c>
      <c r="F100" s="15" t="e">
        <f>ROUND(D99*ROUND(((1+'CALCULADORA TIPS E-6'!$C$14)^(1/12)-1),6),6)</f>
        <v>#DIV/0!</v>
      </c>
      <c r="G100" s="15" t="e">
        <f t="shared" si="15"/>
        <v>#DIV/0!</v>
      </c>
      <c r="H100" s="28" t="e">
        <f>IF($B100=0,0,G100/POWER(1+'CALCULADORA TIPS E-6'!$F$11,'Flujos Mensuales'!$B100/365))</f>
        <v>#DIV/0!</v>
      </c>
      <c r="I100" s="30">
        <f t="shared" si="12"/>
        <v>41326</v>
      </c>
      <c r="J100" s="25">
        <v>98</v>
      </c>
      <c r="K100" s="12">
        <f t="shared" si="16"/>
        <v>2982</v>
      </c>
      <c r="L100" s="96" t="e">
        <f t="shared" si="17"/>
        <v>#DIV/0!</v>
      </c>
      <c r="M100" s="93" t="e">
        <f t="shared" si="18"/>
        <v>#DIV/0!</v>
      </c>
      <c r="N100" s="93" t="e">
        <f t="shared" si="19"/>
        <v>#DIV/0!</v>
      </c>
      <c r="O100" s="94" t="e">
        <f t="shared" si="20"/>
        <v>#DIV/0!</v>
      </c>
    </row>
    <row r="101" spans="1:15" ht="12.75">
      <c r="A101" s="4">
        <f t="shared" si="21"/>
        <v>41354</v>
      </c>
      <c r="B101" s="9">
        <f>IF(DIAS365('CALCULADORA TIPS E-6'!$E$6,A101)&lt;0,0,DIAS365('CALCULADORA TIPS E-6'!$E$6,A101))</f>
        <v>576</v>
      </c>
      <c r="C101" s="5">
        <f>+HLOOKUP('CALCULADORA TIPS E-6'!$E$4,Tablas!$B$1:$D$181,'Flujos Mensuales'!J101+1,FALSE)</f>
        <v>0</v>
      </c>
      <c r="D101" s="14" t="e">
        <f t="shared" si="13"/>
        <v>#DIV/0!</v>
      </c>
      <c r="E101" s="15" t="e">
        <f t="shared" si="14"/>
        <v>#DIV/0!</v>
      </c>
      <c r="F101" s="15" t="e">
        <f>ROUND(D100*ROUND(((1+'CALCULADORA TIPS E-6'!$C$14)^(1/12)-1),6),6)</f>
        <v>#DIV/0!</v>
      </c>
      <c r="G101" s="15" t="e">
        <f t="shared" si="15"/>
        <v>#DIV/0!</v>
      </c>
      <c r="H101" s="28" t="e">
        <f>IF($B101=0,0,G101/POWER(1+'CALCULADORA TIPS E-6'!$F$11,'Flujos Mensuales'!$B101/365))</f>
        <v>#DIV/0!</v>
      </c>
      <c r="I101" s="30">
        <f t="shared" si="12"/>
        <v>41354</v>
      </c>
      <c r="J101" s="25">
        <v>99</v>
      </c>
      <c r="K101" s="12">
        <f t="shared" si="16"/>
        <v>3010</v>
      </c>
      <c r="L101" s="96" t="e">
        <f t="shared" si="17"/>
        <v>#DIV/0!</v>
      </c>
      <c r="M101" s="93" t="e">
        <f t="shared" si="18"/>
        <v>#DIV/0!</v>
      </c>
      <c r="N101" s="93" t="e">
        <f t="shared" si="19"/>
        <v>#DIV/0!</v>
      </c>
      <c r="O101" s="94" t="e">
        <f t="shared" si="20"/>
        <v>#DIV/0!</v>
      </c>
    </row>
    <row r="102" spans="1:15" ht="12.75">
      <c r="A102" s="4">
        <f t="shared" si="21"/>
        <v>41385</v>
      </c>
      <c r="B102" s="9">
        <f>IF(DIAS365('CALCULADORA TIPS E-6'!$E$6,A102)&lt;0,0,DIAS365('CALCULADORA TIPS E-6'!$E$6,A102))</f>
        <v>607</v>
      </c>
      <c r="C102" s="5">
        <f>+HLOOKUP('CALCULADORA TIPS E-6'!$E$4,Tablas!$B$1:$D$181,'Flujos Mensuales'!J102+1,FALSE)</f>
        <v>0</v>
      </c>
      <c r="D102" s="14" t="e">
        <f t="shared" si="13"/>
        <v>#DIV/0!</v>
      </c>
      <c r="E102" s="15" t="e">
        <f t="shared" si="14"/>
        <v>#DIV/0!</v>
      </c>
      <c r="F102" s="15" t="e">
        <f>ROUND(D101*ROUND(((1+'CALCULADORA TIPS E-6'!$C$14)^(1/12)-1),6),6)</f>
        <v>#DIV/0!</v>
      </c>
      <c r="G102" s="15" t="e">
        <f t="shared" si="15"/>
        <v>#DIV/0!</v>
      </c>
      <c r="H102" s="28" t="e">
        <f>IF($B102=0,0,G102/POWER(1+'CALCULADORA TIPS E-6'!$F$11,'Flujos Mensuales'!$B102/365))</f>
        <v>#DIV/0!</v>
      </c>
      <c r="I102" s="30">
        <f t="shared" si="12"/>
        <v>41385</v>
      </c>
      <c r="J102" s="25">
        <v>100</v>
      </c>
      <c r="K102" s="12">
        <f t="shared" si="16"/>
        <v>3041</v>
      </c>
      <c r="L102" s="96" t="e">
        <f t="shared" si="17"/>
        <v>#DIV/0!</v>
      </c>
      <c r="M102" s="93" t="e">
        <f t="shared" si="18"/>
        <v>#DIV/0!</v>
      </c>
      <c r="N102" s="93" t="e">
        <f t="shared" si="19"/>
        <v>#DIV/0!</v>
      </c>
      <c r="O102" s="94" t="e">
        <f t="shared" si="20"/>
        <v>#DIV/0!</v>
      </c>
    </row>
    <row r="103" spans="1:15" ht="12.75">
      <c r="A103" s="4">
        <f t="shared" si="21"/>
        <v>41415</v>
      </c>
      <c r="B103" s="9">
        <f>IF(DIAS365('CALCULADORA TIPS E-6'!$E$6,A103)&lt;0,0,DIAS365('CALCULADORA TIPS E-6'!$E$6,A103))</f>
        <v>637</v>
      </c>
      <c r="C103" s="5">
        <f>+HLOOKUP('CALCULADORA TIPS E-6'!$E$4,Tablas!$B$1:$D$181,'Flujos Mensuales'!J103+1,FALSE)</f>
        <v>0</v>
      </c>
      <c r="D103" s="14" t="e">
        <f t="shared" si="13"/>
        <v>#DIV/0!</v>
      </c>
      <c r="E103" s="15" t="e">
        <f t="shared" si="14"/>
        <v>#DIV/0!</v>
      </c>
      <c r="F103" s="15" t="e">
        <f>ROUND(D102*ROUND(((1+'CALCULADORA TIPS E-6'!$C$14)^(1/12)-1),6),6)</f>
        <v>#DIV/0!</v>
      </c>
      <c r="G103" s="15" t="e">
        <f t="shared" si="15"/>
        <v>#DIV/0!</v>
      </c>
      <c r="H103" s="28" t="e">
        <f>IF($B103=0,0,G103/POWER(1+'CALCULADORA TIPS E-6'!$F$11,'Flujos Mensuales'!$B103/365))</f>
        <v>#DIV/0!</v>
      </c>
      <c r="I103" s="30">
        <f t="shared" si="12"/>
        <v>41415</v>
      </c>
      <c r="J103" s="25">
        <v>101</v>
      </c>
      <c r="K103" s="12">
        <f t="shared" si="16"/>
        <v>3071</v>
      </c>
      <c r="L103" s="96" t="e">
        <f t="shared" si="17"/>
        <v>#DIV/0!</v>
      </c>
      <c r="M103" s="93" t="e">
        <f t="shared" si="18"/>
        <v>#DIV/0!</v>
      </c>
      <c r="N103" s="93" t="e">
        <f t="shared" si="19"/>
        <v>#DIV/0!</v>
      </c>
      <c r="O103" s="94" t="e">
        <f t="shared" si="20"/>
        <v>#DIV/0!</v>
      </c>
    </row>
    <row r="104" spans="1:15" ht="12.75">
      <c r="A104" s="4">
        <f t="shared" si="21"/>
        <v>41446</v>
      </c>
      <c r="B104" s="9">
        <f>IF(DIAS365('CALCULADORA TIPS E-6'!$E$6,A104)&lt;0,0,DIAS365('CALCULADORA TIPS E-6'!$E$6,A104))</f>
        <v>668</v>
      </c>
      <c r="C104" s="5">
        <f>+HLOOKUP('CALCULADORA TIPS E-6'!$E$4,Tablas!$B$1:$D$181,'Flujos Mensuales'!J104+1,FALSE)</f>
        <v>0</v>
      </c>
      <c r="D104" s="14" t="e">
        <f t="shared" si="13"/>
        <v>#DIV/0!</v>
      </c>
      <c r="E104" s="15" t="e">
        <f t="shared" si="14"/>
        <v>#DIV/0!</v>
      </c>
      <c r="F104" s="15" t="e">
        <f>ROUND(D103*ROUND(((1+'CALCULADORA TIPS E-6'!$C$14)^(1/12)-1),6),6)</f>
        <v>#DIV/0!</v>
      </c>
      <c r="G104" s="15" t="e">
        <f t="shared" si="15"/>
        <v>#DIV/0!</v>
      </c>
      <c r="H104" s="28" t="e">
        <f>IF($B104=0,0,G104/POWER(1+'CALCULADORA TIPS E-6'!$F$11,'Flujos Mensuales'!$B104/365))</f>
        <v>#DIV/0!</v>
      </c>
      <c r="I104" s="30">
        <f t="shared" si="12"/>
        <v>41446</v>
      </c>
      <c r="J104" s="25">
        <v>102</v>
      </c>
      <c r="K104" s="12">
        <f t="shared" si="16"/>
        <v>3102</v>
      </c>
      <c r="L104" s="96" t="e">
        <f t="shared" si="17"/>
        <v>#DIV/0!</v>
      </c>
      <c r="M104" s="93" t="e">
        <f t="shared" si="18"/>
        <v>#DIV/0!</v>
      </c>
      <c r="N104" s="93" t="e">
        <f t="shared" si="19"/>
        <v>#DIV/0!</v>
      </c>
      <c r="O104" s="94" t="e">
        <f t="shared" si="20"/>
        <v>#DIV/0!</v>
      </c>
    </row>
    <row r="105" spans="1:15" ht="12.75">
      <c r="A105" s="4">
        <f t="shared" si="21"/>
        <v>41476</v>
      </c>
      <c r="B105" s="9">
        <f>IF(DIAS365('CALCULADORA TIPS E-6'!$E$6,A105)&lt;0,0,DIAS365('CALCULADORA TIPS E-6'!$E$6,A105))</f>
        <v>698</v>
      </c>
      <c r="C105" s="5">
        <f>+HLOOKUP('CALCULADORA TIPS E-6'!$E$4,Tablas!$B$1:$D$181,'Flujos Mensuales'!J105+1,FALSE)</f>
        <v>0</v>
      </c>
      <c r="D105" s="14" t="e">
        <f t="shared" si="13"/>
        <v>#DIV/0!</v>
      </c>
      <c r="E105" s="15" t="e">
        <f t="shared" si="14"/>
        <v>#DIV/0!</v>
      </c>
      <c r="F105" s="15" t="e">
        <f>ROUND(D104*ROUND(((1+'CALCULADORA TIPS E-6'!$C$14)^(1/12)-1),6),6)</f>
        <v>#DIV/0!</v>
      </c>
      <c r="G105" s="15" t="e">
        <f t="shared" si="15"/>
        <v>#DIV/0!</v>
      </c>
      <c r="H105" s="28" t="e">
        <f>IF($B105=0,0,G105/POWER(1+'CALCULADORA TIPS E-6'!$F$11,'Flujos Mensuales'!$B105/365))</f>
        <v>#DIV/0!</v>
      </c>
      <c r="I105" s="30">
        <f t="shared" si="12"/>
        <v>41476</v>
      </c>
      <c r="J105" s="25">
        <v>103</v>
      </c>
      <c r="K105" s="12">
        <f t="shared" si="16"/>
        <v>3132</v>
      </c>
      <c r="L105" s="96" t="e">
        <f t="shared" si="17"/>
        <v>#DIV/0!</v>
      </c>
      <c r="M105" s="93" t="e">
        <f t="shared" si="18"/>
        <v>#DIV/0!</v>
      </c>
      <c r="N105" s="93" t="e">
        <f t="shared" si="19"/>
        <v>#DIV/0!</v>
      </c>
      <c r="O105" s="94" t="e">
        <f t="shared" si="20"/>
        <v>#DIV/0!</v>
      </c>
    </row>
    <row r="106" spans="1:15" ht="12.75">
      <c r="A106" s="4">
        <f t="shared" si="21"/>
        <v>41507</v>
      </c>
      <c r="B106" s="9">
        <f>IF(DIAS365('CALCULADORA TIPS E-6'!$E$6,A106)&lt;0,0,DIAS365('CALCULADORA TIPS E-6'!$E$6,A106))</f>
        <v>729</v>
      </c>
      <c r="C106" s="5">
        <f>+HLOOKUP('CALCULADORA TIPS E-6'!$E$4,Tablas!$B$1:$D$181,'Flujos Mensuales'!J106+1,FALSE)</f>
        <v>0</v>
      </c>
      <c r="D106" s="14" t="e">
        <f t="shared" si="13"/>
        <v>#DIV/0!</v>
      </c>
      <c r="E106" s="15" t="e">
        <f t="shared" si="14"/>
        <v>#DIV/0!</v>
      </c>
      <c r="F106" s="15" t="e">
        <f>ROUND(D105*ROUND(((1+'CALCULADORA TIPS E-6'!$C$14)^(1/12)-1),6),6)</f>
        <v>#DIV/0!</v>
      </c>
      <c r="G106" s="15" t="e">
        <f t="shared" si="15"/>
        <v>#DIV/0!</v>
      </c>
      <c r="H106" s="28" t="e">
        <f>IF($B106=0,0,G106/POWER(1+'CALCULADORA TIPS E-6'!$F$11,'Flujos Mensuales'!$B106/365))</f>
        <v>#DIV/0!</v>
      </c>
      <c r="I106" s="30">
        <f t="shared" si="12"/>
        <v>41507</v>
      </c>
      <c r="J106" s="25">
        <v>104</v>
      </c>
      <c r="K106" s="12">
        <f t="shared" si="16"/>
        <v>3163</v>
      </c>
      <c r="L106" s="96" t="e">
        <f t="shared" si="17"/>
        <v>#DIV/0!</v>
      </c>
      <c r="M106" s="93" t="e">
        <f t="shared" si="18"/>
        <v>#DIV/0!</v>
      </c>
      <c r="N106" s="93" t="e">
        <f t="shared" si="19"/>
        <v>#DIV/0!</v>
      </c>
      <c r="O106" s="94" t="e">
        <f t="shared" si="20"/>
        <v>#DIV/0!</v>
      </c>
    </row>
    <row r="107" spans="1:15" ht="12.75">
      <c r="A107" s="4">
        <f t="shared" si="21"/>
        <v>41538</v>
      </c>
      <c r="B107" s="9">
        <f>IF(DIAS365('CALCULADORA TIPS E-6'!$E$6,A107)&lt;0,0,DIAS365('CALCULADORA TIPS E-6'!$E$6,A107))</f>
        <v>760</v>
      </c>
      <c r="C107" s="5">
        <f>+HLOOKUP('CALCULADORA TIPS E-6'!$E$4,Tablas!$B$1:$D$181,'Flujos Mensuales'!J107+1,FALSE)</f>
        <v>0</v>
      </c>
      <c r="D107" s="14" t="e">
        <f t="shared" si="13"/>
        <v>#DIV/0!</v>
      </c>
      <c r="E107" s="15" t="e">
        <f t="shared" si="14"/>
        <v>#DIV/0!</v>
      </c>
      <c r="F107" s="15" t="e">
        <f>ROUND(D106*ROUND(((1+'CALCULADORA TIPS E-6'!$C$14)^(1/12)-1),6),6)</f>
        <v>#DIV/0!</v>
      </c>
      <c r="G107" s="15" t="e">
        <f t="shared" si="15"/>
        <v>#DIV/0!</v>
      </c>
      <c r="H107" s="28" t="e">
        <f>IF($B107=0,0,G107/POWER(1+'CALCULADORA TIPS E-6'!$F$11,'Flujos Mensuales'!$B107/365))</f>
        <v>#DIV/0!</v>
      </c>
      <c r="I107" s="30">
        <f t="shared" si="12"/>
        <v>41538</v>
      </c>
      <c r="J107" s="25">
        <v>105</v>
      </c>
      <c r="K107" s="12">
        <f t="shared" si="16"/>
        <v>3194</v>
      </c>
      <c r="L107" s="96" t="e">
        <f t="shared" si="17"/>
        <v>#DIV/0!</v>
      </c>
      <c r="M107" s="93" t="e">
        <f t="shared" si="18"/>
        <v>#DIV/0!</v>
      </c>
      <c r="N107" s="93" t="e">
        <f t="shared" si="19"/>
        <v>#DIV/0!</v>
      </c>
      <c r="O107" s="94" t="e">
        <f t="shared" si="20"/>
        <v>#DIV/0!</v>
      </c>
    </row>
    <row r="108" spans="1:15" ht="12.75">
      <c r="A108" s="4">
        <f t="shared" si="21"/>
        <v>41568</v>
      </c>
      <c r="B108" s="9">
        <f>IF(DIAS365('CALCULADORA TIPS E-6'!$E$6,A108)&lt;0,0,DIAS365('CALCULADORA TIPS E-6'!$E$6,A108))</f>
        <v>790</v>
      </c>
      <c r="C108" s="5">
        <f>+HLOOKUP('CALCULADORA TIPS E-6'!$E$4,Tablas!$B$1:$D$181,'Flujos Mensuales'!J108+1,FALSE)</f>
        <v>0</v>
      </c>
      <c r="D108" s="14" t="e">
        <f t="shared" si="13"/>
        <v>#DIV/0!</v>
      </c>
      <c r="E108" s="15" t="e">
        <f t="shared" si="14"/>
        <v>#DIV/0!</v>
      </c>
      <c r="F108" s="15" t="e">
        <f>ROUND(D107*ROUND(((1+'CALCULADORA TIPS E-6'!$C$14)^(1/12)-1),6),6)</f>
        <v>#DIV/0!</v>
      </c>
      <c r="G108" s="15" t="e">
        <f t="shared" si="15"/>
        <v>#DIV/0!</v>
      </c>
      <c r="H108" s="28" t="e">
        <f>IF($B108=0,0,G108/POWER(1+'CALCULADORA TIPS E-6'!$F$11,'Flujos Mensuales'!$B108/365))</f>
        <v>#DIV/0!</v>
      </c>
      <c r="I108" s="30">
        <f t="shared" si="12"/>
        <v>41568</v>
      </c>
      <c r="J108" s="25">
        <v>106</v>
      </c>
      <c r="K108" s="12">
        <f t="shared" si="16"/>
        <v>3224</v>
      </c>
      <c r="L108" s="96" t="e">
        <f t="shared" si="17"/>
        <v>#DIV/0!</v>
      </c>
      <c r="M108" s="93" t="e">
        <f t="shared" si="18"/>
        <v>#DIV/0!</v>
      </c>
      <c r="N108" s="93" t="e">
        <f t="shared" si="19"/>
        <v>#DIV/0!</v>
      </c>
      <c r="O108" s="94" t="e">
        <f t="shared" si="20"/>
        <v>#DIV/0!</v>
      </c>
    </row>
    <row r="109" spans="1:15" ht="12.75">
      <c r="A109" s="4">
        <f t="shared" si="21"/>
        <v>41599</v>
      </c>
      <c r="B109" s="9">
        <f>IF(DIAS365('CALCULADORA TIPS E-6'!$E$6,A109)&lt;0,0,DIAS365('CALCULADORA TIPS E-6'!$E$6,A109))</f>
        <v>821</v>
      </c>
      <c r="C109" s="5">
        <f>+HLOOKUP('CALCULADORA TIPS E-6'!$E$4,Tablas!$B$1:$D$181,'Flujos Mensuales'!J109+1,FALSE)</f>
        <v>0</v>
      </c>
      <c r="D109" s="14" t="e">
        <f t="shared" si="13"/>
        <v>#DIV/0!</v>
      </c>
      <c r="E109" s="15" t="e">
        <f t="shared" si="14"/>
        <v>#DIV/0!</v>
      </c>
      <c r="F109" s="15" t="e">
        <f>ROUND(D108*ROUND(((1+'CALCULADORA TIPS E-6'!$C$14)^(1/12)-1),6),6)</f>
        <v>#DIV/0!</v>
      </c>
      <c r="G109" s="15" t="e">
        <f t="shared" si="15"/>
        <v>#DIV/0!</v>
      </c>
      <c r="H109" s="28" t="e">
        <f>IF($B109=0,0,G109/POWER(1+'CALCULADORA TIPS E-6'!$F$11,'Flujos Mensuales'!$B109/365))</f>
        <v>#DIV/0!</v>
      </c>
      <c r="I109" s="30">
        <f t="shared" si="12"/>
        <v>41599</v>
      </c>
      <c r="J109" s="25">
        <v>107</v>
      </c>
      <c r="K109" s="12">
        <f t="shared" si="16"/>
        <v>3255</v>
      </c>
      <c r="L109" s="96" t="e">
        <f t="shared" si="17"/>
        <v>#DIV/0!</v>
      </c>
      <c r="M109" s="93" t="e">
        <f t="shared" si="18"/>
        <v>#DIV/0!</v>
      </c>
      <c r="N109" s="93" t="e">
        <f t="shared" si="19"/>
        <v>#DIV/0!</v>
      </c>
      <c r="O109" s="94" t="e">
        <f t="shared" si="20"/>
        <v>#DIV/0!</v>
      </c>
    </row>
    <row r="110" spans="1:15" ht="12.75">
      <c r="A110" s="4">
        <f t="shared" si="21"/>
        <v>41629</v>
      </c>
      <c r="B110" s="9">
        <f>IF(DIAS365('CALCULADORA TIPS E-6'!$E$6,A110)&lt;0,0,DIAS365('CALCULADORA TIPS E-6'!$E$6,A110))</f>
        <v>851</v>
      </c>
      <c r="C110" s="5">
        <f>+HLOOKUP('CALCULADORA TIPS E-6'!$E$4,Tablas!$B$1:$D$181,'Flujos Mensuales'!J110+1,FALSE)</f>
        <v>0</v>
      </c>
      <c r="D110" s="14" t="e">
        <f t="shared" si="13"/>
        <v>#DIV/0!</v>
      </c>
      <c r="E110" s="15" t="e">
        <f t="shared" si="14"/>
        <v>#DIV/0!</v>
      </c>
      <c r="F110" s="15" t="e">
        <f>ROUND(D109*ROUND(((1+'CALCULADORA TIPS E-6'!$C$14)^(1/12)-1),6),6)</f>
        <v>#DIV/0!</v>
      </c>
      <c r="G110" s="15" t="e">
        <f t="shared" si="15"/>
        <v>#DIV/0!</v>
      </c>
      <c r="H110" s="28" t="e">
        <f>IF($B110=0,0,G110/POWER(1+'CALCULADORA TIPS E-6'!$F$11,'Flujos Mensuales'!$B110/365))</f>
        <v>#DIV/0!</v>
      </c>
      <c r="I110" s="30">
        <f t="shared" si="12"/>
        <v>41629</v>
      </c>
      <c r="J110" s="25">
        <v>108</v>
      </c>
      <c r="K110" s="12">
        <f t="shared" si="16"/>
        <v>3285</v>
      </c>
      <c r="L110" s="96" t="e">
        <f t="shared" si="17"/>
        <v>#DIV/0!</v>
      </c>
      <c r="M110" s="93" t="e">
        <f t="shared" si="18"/>
        <v>#DIV/0!</v>
      </c>
      <c r="N110" s="93" t="e">
        <f t="shared" si="19"/>
        <v>#DIV/0!</v>
      </c>
      <c r="O110" s="94" t="e">
        <f t="shared" si="20"/>
        <v>#DIV/0!</v>
      </c>
    </row>
    <row r="111" spans="1:15" ht="12.75">
      <c r="A111" s="4">
        <f t="shared" si="21"/>
        <v>41660</v>
      </c>
      <c r="B111" s="9">
        <f>IF(DIAS365('CALCULADORA TIPS E-6'!$E$6,A111)&lt;0,0,DIAS365('CALCULADORA TIPS E-6'!$E$6,A111))</f>
        <v>882</v>
      </c>
      <c r="C111" s="5">
        <f>+HLOOKUP('CALCULADORA TIPS E-6'!$E$4,Tablas!$B$1:$D$181,'Flujos Mensuales'!J111+1,FALSE)</f>
        <v>0</v>
      </c>
      <c r="D111" s="14" t="e">
        <f t="shared" si="13"/>
        <v>#DIV/0!</v>
      </c>
      <c r="E111" s="15" t="e">
        <f t="shared" si="14"/>
        <v>#DIV/0!</v>
      </c>
      <c r="F111" s="15" t="e">
        <f>ROUND(D110*ROUND(((1+'CALCULADORA TIPS E-6'!$C$14)^(1/12)-1),6),6)</f>
        <v>#DIV/0!</v>
      </c>
      <c r="G111" s="15" t="e">
        <f t="shared" si="15"/>
        <v>#DIV/0!</v>
      </c>
      <c r="H111" s="28" t="e">
        <f>IF($B111=0,0,G111/POWER(1+'CALCULADORA TIPS E-6'!$F$11,'Flujos Mensuales'!$B111/365))</f>
        <v>#DIV/0!</v>
      </c>
      <c r="I111" s="30">
        <f t="shared" si="12"/>
        <v>41660</v>
      </c>
      <c r="J111" s="25">
        <v>109</v>
      </c>
      <c r="K111" s="12">
        <f t="shared" si="16"/>
        <v>3316</v>
      </c>
      <c r="L111" s="96" t="e">
        <f t="shared" si="17"/>
        <v>#DIV/0!</v>
      </c>
      <c r="M111" s="93" t="e">
        <f t="shared" si="18"/>
        <v>#DIV/0!</v>
      </c>
      <c r="N111" s="93" t="e">
        <f t="shared" si="19"/>
        <v>#DIV/0!</v>
      </c>
      <c r="O111" s="94" t="e">
        <f t="shared" si="20"/>
        <v>#DIV/0!</v>
      </c>
    </row>
    <row r="112" spans="1:15" ht="12.75">
      <c r="A112" s="4">
        <f t="shared" si="21"/>
        <v>41691</v>
      </c>
      <c r="B112" s="9">
        <f>IF(DIAS365('CALCULADORA TIPS E-6'!$E$6,A112)&lt;0,0,DIAS365('CALCULADORA TIPS E-6'!$E$6,A112))</f>
        <v>913</v>
      </c>
      <c r="C112" s="5">
        <f>+HLOOKUP('CALCULADORA TIPS E-6'!$E$4,Tablas!$B$1:$D$181,'Flujos Mensuales'!J112+1,FALSE)</f>
        <v>0</v>
      </c>
      <c r="D112" s="14" t="e">
        <f t="shared" si="13"/>
        <v>#DIV/0!</v>
      </c>
      <c r="E112" s="15" t="e">
        <f t="shared" si="14"/>
        <v>#DIV/0!</v>
      </c>
      <c r="F112" s="15" t="e">
        <f>ROUND(D111*ROUND(((1+'CALCULADORA TIPS E-6'!$C$14)^(1/12)-1),6),6)</f>
        <v>#DIV/0!</v>
      </c>
      <c r="G112" s="15" t="e">
        <f t="shared" si="15"/>
        <v>#DIV/0!</v>
      </c>
      <c r="H112" s="28" t="e">
        <f>IF($B112=0,0,G112/POWER(1+'CALCULADORA TIPS E-6'!$F$11,'Flujos Mensuales'!$B112/365))</f>
        <v>#DIV/0!</v>
      </c>
      <c r="I112" s="30">
        <f t="shared" si="12"/>
        <v>41691</v>
      </c>
      <c r="J112" s="25">
        <v>110</v>
      </c>
      <c r="K112" s="12">
        <f t="shared" si="16"/>
        <v>3347</v>
      </c>
      <c r="L112" s="96" t="e">
        <f t="shared" si="17"/>
        <v>#DIV/0!</v>
      </c>
      <c r="M112" s="93" t="e">
        <f t="shared" si="18"/>
        <v>#DIV/0!</v>
      </c>
      <c r="N112" s="93" t="e">
        <f t="shared" si="19"/>
        <v>#DIV/0!</v>
      </c>
      <c r="O112" s="94" t="e">
        <f t="shared" si="20"/>
        <v>#DIV/0!</v>
      </c>
    </row>
    <row r="113" spans="1:15" ht="12.75">
      <c r="A113" s="4">
        <f t="shared" si="21"/>
        <v>41719</v>
      </c>
      <c r="B113" s="9">
        <f>IF(DIAS365('CALCULADORA TIPS E-6'!$E$6,A113)&lt;0,0,DIAS365('CALCULADORA TIPS E-6'!$E$6,A113))</f>
        <v>941</v>
      </c>
      <c r="C113" s="5">
        <f>+HLOOKUP('CALCULADORA TIPS E-6'!$E$4,Tablas!$B$1:$D$181,'Flujos Mensuales'!J113+1,FALSE)</f>
        <v>0</v>
      </c>
      <c r="D113" s="14" t="e">
        <f t="shared" si="13"/>
        <v>#DIV/0!</v>
      </c>
      <c r="E113" s="15" t="e">
        <f t="shared" si="14"/>
        <v>#DIV/0!</v>
      </c>
      <c r="F113" s="15" t="e">
        <f>ROUND(D112*ROUND(((1+'CALCULADORA TIPS E-6'!$C$14)^(1/12)-1),6),6)</f>
        <v>#DIV/0!</v>
      </c>
      <c r="G113" s="15" t="e">
        <f t="shared" si="15"/>
        <v>#DIV/0!</v>
      </c>
      <c r="H113" s="28" t="e">
        <f>IF($B113=0,0,G113/POWER(1+'CALCULADORA TIPS E-6'!$F$11,'Flujos Mensuales'!$B113/365))</f>
        <v>#DIV/0!</v>
      </c>
      <c r="I113" s="30">
        <f t="shared" si="12"/>
        <v>41719</v>
      </c>
      <c r="J113" s="25">
        <v>111</v>
      </c>
      <c r="K113" s="12">
        <f t="shared" si="16"/>
        <v>3375</v>
      </c>
      <c r="L113" s="96" t="e">
        <f t="shared" si="17"/>
        <v>#DIV/0!</v>
      </c>
      <c r="M113" s="93" t="e">
        <f t="shared" si="18"/>
        <v>#DIV/0!</v>
      </c>
      <c r="N113" s="93" t="e">
        <f t="shared" si="19"/>
        <v>#DIV/0!</v>
      </c>
      <c r="O113" s="94" t="e">
        <f t="shared" si="20"/>
        <v>#DIV/0!</v>
      </c>
    </row>
    <row r="114" spans="1:15" ht="12.75">
      <c r="A114" s="4">
        <f t="shared" si="21"/>
        <v>41750</v>
      </c>
      <c r="B114" s="9">
        <f>IF(DIAS365('CALCULADORA TIPS E-6'!$E$6,A114)&lt;0,0,DIAS365('CALCULADORA TIPS E-6'!$E$6,A114))</f>
        <v>972</v>
      </c>
      <c r="C114" s="5">
        <f>+HLOOKUP('CALCULADORA TIPS E-6'!$E$4,Tablas!$B$1:$D$181,'Flujos Mensuales'!J114+1,FALSE)</f>
        <v>0</v>
      </c>
      <c r="D114" s="14" t="e">
        <f t="shared" si="13"/>
        <v>#DIV/0!</v>
      </c>
      <c r="E114" s="15" t="e">
        <f t="shared" si="14"/>
        <v>#DIV/0!</v>
      </c>
      <c r="F114" s="15" t="e">
        <f>ROUND(D113*ROUND(((1+'CALCULADORA TIPS E-6'!$C$14)^(1/12)-1),6),6)</f>
        <v>#DIV/0!</v>
      </c>
      <c r="G114" s="15" t="e">
        <f t="shared" si="15"/>
        <v>#DIV/0!</v>
      </c>
      <c r="H114" s="28" t="e">
        <f>IF($B114=0,0,G114/POWER(1+'CALCULADORA TIPS E-6'!$F$11,'Flujos Mensuales'!$B114/365))</f>
        <v>#DIV/0!</v>
      </c>
      <c r="I114" s="30">
        <f t="shared" si="12"/>
        <v>41750</v>
      </c>
      <c r="J114" s="25">
        <v>112</v>
      </c>
      <c r="K114" s="12">
        <f t="shared" si="16"/>
        <v>3406</v>
      </c>
      <c r="L114" s="96" t="e">
        <f t="shared" si="17"/>
        <v>#DIV/0!</v>
      </c>
      <c r="M114" s="93" t="e">
        <f t="shared" si="18"/>
        <v>#DIV/0!</v>
      </c>
      <c r="N114" s="93" t="e">
        <f t="shared" si="19"/>
        <v>#DIV/0!</v>
      </c>
      <c r="O114" s="94" t="e">
        <f t="shared" si="20"/>
        <v>#DIV/0!</v>
      </c>
    </row>
    <row r="115" spans="1:15" ht="12.75">
      <c r="A115" s="4">
        <f t="shared" si="21"/>
        <v>41780</v>
      </c>
      <c r="B115" s="9">
        <f>IF(DIAS365('CALCULADORA TIPS E-6'!$E$6,A115)&lt;0,0,DIAS365('CALCULADORA TIPS E-6'!$E$6,A115))</f>
        <v>1002</v>
      </c>
      <c r="C115" s="5">
        <f>+HLOOKUP('CALCULADORA TIPS E-6'!$E$4,Tablas!$B$1:$D$181,'Flujos Mensuales'!J115+1,FALSE)</f>
        <v>0</v>
      </c>
      <c r="D115" s="14" t="e">
        <f t="shared" si="13"/>
        <v>#DIV/0!</v>
      </c>
      <c r="E115" s="15" t="e">
        <f t="shared" si="14"/>
        <v>#DIV/0!</v>
      </c>
      <c r="F115" s="15" t="e">
        <f>ROUND(D114*ROUND(((1+'CALCULADORA TIPS E-6'!$C$14)^(1/12)-1),6),6)</f>
        <v>#DIV/0!</v>
      </c>
      <c r="G115" s="15" t="e">
        <f t="shared" si="15"/>
        <v>#DIV/0!</v>
      </c>
      <c r="H115" s="28" t="e">
        <f>IF($B115=0,0,G115/POWER(1+'CALCULADORA TIPS E-6'!$F$11,'Flujos Mensuales'!$B115/365))</f>
        <v>#DIV/0!</v>
      </c>
      <c r="I115" s="30">
        <f t="shared" si="12"/>
        <v>41780</v>
      </c>
      <c r="J115" s="25">
        <v>113</v>
      </c>
      <c r="K115" s="12">
        <f t="shared" si="16"/>
        <v>3436</v>
      </c>
      <c r="L115" s="96" t="e">
        <f t="shared" si="17"/>
        <v>#DIV/0!</v>
      </c>
      <c r="M115" s="93" t="e">
        <f t="shared" si="18"/>
        <v>#DIV/0!</v>
      </c>
      <c r="N115" s="93" t="e">
        <f t="shared" si="19"/>
        <v>#DIV/0!</v>
      </c>
      <c r="O115" s="94" t="e">
        <f t="shared" si="20"/>
        <v>#DIV/0!</v>
      </c>
    </row>
    <row r="116" spans="1:15" ht="12.75">
      <c r="A116" s="4">
        <f t="shared" si="21"/>
        <v>41811</v>
      </c>
      <c r="B116" s="9">
        <f>IF(DIAS365('CALCULADORA TIPS E-6'!$E$6,A116)&lt;0,0,DIAS365('CALCULADORA TIPS E-6'!$E$6,A116))</f>
        <v>1033</v>
      </c>
      <c r="C116" s="5">
        <f>+HLOOKUP('CALCULADORA TIPS E-6'!$E$4,Tablas!$B$1:$D$181,'Flujos Mensuales'!J116+1,FALSE)</f>
        <v>0</v>
      </c>
      <c r="D116" s="14" t="e">
        <f t="shared" si="13"/>
        <v>#DIV/0!</v>
      </c>
      <c r="E116" s="15" t="e">
        <f t="shared" si="14"/>
        <v>#DIV/0!</v>
      </c>
      <c r="F116" s="15" t="e">
        <f>ROUND(D115*ROUND(((1+'CALCULADORA TIPS E-6'!$C$14)^(1/12)-1),6),6)</f>
        <v>#DIV/0!</v>
      </c>
      <c r="G116" s="15" t="e">
        <f t="shared" si="15"/>
        <v>#DIV/0!</v>
      </c>
      <c r="H116" s="28" t="e">
        <f>IF($B116=0,0,G116/POWER(1+'CALCULADORA TIPS E-6'!$F$11,'Flujos Mensuales'!$B116/365))</f>
        <v>#DIV/0!</v>
      </c>
      <c r="I116" s="30">
        <f t="shared" si="12"/>
        <v>41811</v>
      </c>
      <c r="J116" s="25">
        <v>114</v>
      </c>
      <c r="K116" s="12">
        <f t="shared" si="16"/>
        <v>3467</v>
      </c>
      <c r="L116" s="96" t="e">
        <f t="shared" si="17"/>
        <v>#DIV/0!</v>
      </c>
      <c r="M116" s="93" t="e">
        <f t="shared" si="18"/>
        <v>#DIV/0!</v>
      </c>
      <c r="N116" s="93" t="e">
        <f t="shared" si="19"/>
        <v>#DIV/0!</v>
      </c>
      <c r="O116" s="94" t="e">
        <f t="shared" si="20"/>
        <v>#DIV/0!</v>
      </c>
    </row>
    <row r="117" spans="1:15" ht="12.75">
      <c r="A117" s="4">
        <f t="shared" si="21"/>
        <v>41841</v>
      </c>
      <c r="B117" s="9">
        <f>IF(DIAS365('CALCULADORA TIPS E-6'!$E$6,A117)&lt;0,0,DIAS365('CALCULADORA TIPS E-6'!$E$6,A117))</f>
        <v>1063</v>
      </c>
      <c r="C117" s="5">
        <f>+HLOOKUP('CALCULADORA TIPS E-6'!$E$4,Tablas!$B$1:$D$181,'Flujos Mensuales'!J117+1,FALSE)</f>
        <v>0</v>
      </c>
      <c r="D117" s="14" t="e">
        <f t="shared" si="13"/>
        <v>#DIV/0!</v>
      </c>
      <c r="E117" s="15" t="e">
        <f t="shared" si="14"/>
        <v>#DIV/0!</v>
      </c>
      <c r="F117" s="15" t="e">
        <f>ROUND(D116*ROUND(((1+'CALCULADORA TIPS E-6'!$C$14)^(1/12)-1),6),6)</f>
        <v>#DIV/0!</v>
      </c>
      <c r="G117" s="15" t="e">
        <f t="shared" si="15"/>
        <v>#DIV/0!</v>
      </c>
      <c r="H117" s="28" t="e">
        <f>IF($B117=0,0,G117/POWER(1+'CALCULADORA TIPS E-6'!$F$11,'Flujos Mensuales'!$B117/365))</f>
        <v>#DIV/0!</v>
      </c>
      <c r="I117" s="30">
        <f t="shared" si="12"/>
        <v>41841</v>
      </c>
      <c r="J117" s="25">
        <v>115</v>
      </c>
      <c r="K117" s="12">
        <f t="shared" si="16"/>
        <v>3497</v>
      </c>
      <c r="L117" s="96" t="e">
        <f t="shared" si="17"/>
        <v>#DIV/0!</v>
      </c>
      <c r="M117" s="93" t="e">
        <f t="shared" si="18"/>
        <v>#DIV/0!</v>
      </c>
      <c r="N117" s="93" t="e">
        <f t="shared" si="19"/>
        <v>#DIV/0!</v>
      </c>
      <c r="O117" s="94" t="e">
        <f t="shared" si="20"/>
        <v>#DIV/0!</v>
      </c>
    </row>
    <row r="118" spans="1:15" ht="12.75">
      <c r="A118" s="4">
        <f t="shared" si="21"/>
        <v>41872</v>
      </c>
      <c r="B118" s="9">
        <f>IF(DIAS365('CALCULADORA TIPS E-6'!$E$6,A118)&lt;0,0,DIAS365('CALCULADORA TIPS E-6'!$E$6,A118))</f>
        <v>1094</v>
      </c>
      <c r="C118" s="5">
        <f>+HLOOKUP('CALCULADORA TIPS E-6'!$E$4,Tablas!$B$1:$D$181,'Flujos Mensuales'!J118+1,FALSE)</f>
        <v>0</v>
      </c>
      <c r="D118" s="14" t="e">
        <f t="shared" si="13"/>
        <v>#DIV/0!</v>
      </c>
      <c r="E118" s="15" t="e">
        <f t="shared" si="14"/>
        <v>#DIV/0!</v>
      </c>
      <c r="F118" s="15" t="e">
        <f>ROUND(D117*ROUND(((1+'CALCULADORA TIPS E-6'!$C$14)^(1/12)-1),6),6)</f>
        <v>#DIV/0!</v>
      </c>
      <c r="G118" s="15" t="e">
        <f t="shared" si="15"/>
        <v>#DIV/0!</v>
      </c>
      <c r="H118" s="28" t="e">
        <f>IF($B118=0,0,G118/POWER(1+'CALCULADORA TIPS E-6'!$F$11,'Flujos Mensuales'!$B118/365))</f>
        <v>#DIV/0!</v>
      </c>
      <c r="I118" s="30">
        <f t="shared" si="12"/>
        <v>41872</v>
      </c>
      <c r="J118" s="25">
        <v>116</v>
      </c>
      <c r="K118" s="12">
        <f t="shared" si="16"/>
        <v>3528</v>
      </c>
      <c r="L118" s="96" t="e">
        <f t="shared" si="17"/>
        <v>#DIV/0!</v>
      </c>
      <c r="M118" s="93" t="e">
        <f t="shared" si="18"/>
        <v>#DIV/0!</v>
      </c>
      <c r="N118" s="93" t="e">
        <f t="shared" si="19"/>
        <v>#DIV/0!</v>
      </c>
      <c r="O118" s="94" t="e">
        <f t="shared" si="20"/>
        <v>#DIV/0!</v>
      </c>
    </row>
    <row r="119" spans="1:15" ht="12.75">
      <c r="A119" s="4">
        <f t="shared" si="21"/>
        <v>41903</v>
      </c>
      <c r="B119" s="9">
        <f>IF(DIAS365('CALCULADORA TIPS E-6'!$E$6,A119)&lt;0,0,DIAS365('CALCULADORA TIPS E-6'!$E$6,A119))</f>
        <v>1125</v>
      </c>
      <c r="C119" s="5">
        <f>+HLOOKUP('CALCULADORA TIPS E-6'!$E$4,Tablas!$B$1:$D$181,'Flujos Mensuales'!J119+1,FALSE)</f>
        <v>0</v>
      </c>
      <c r="D119" s="14" t="e">
        <f t="shared" si="13"/>
        <v>#DIV/0!</v>
      </c>
      <c r="E119" s="15" t="e">
        <f t="shared" si="14"/>
        <v>#DIV/0!</v>
      </c>
      <c r="F119" s="15" t="e">
        <f>ROUND(D118*ROUND(((1+'CALCULADORA TIPS E-6'!$C$14)^(1/12)-1),6),6)</f>
        <v>#DIV/0!</v>
      </c>
      <c r="G119" s="15" t="e">
        <f t="shared" si="15"/>
        <v>#DIV/0!</v>
      </c>
      <c r="H119" s="28" t="e">
        <f>IF($B119=0,0,G119/POWER(1+'CALCULADORA TIPS E-6'!$F$11,'Flujos Mensuales'!$B119/365))</f>
        <v>#DIV/0!</v>
      </c>
      <c r="I119" s="30">
        <f t="shared" si="12"/>
        <v>41903</v>
      </c>
      <c r="J119" s="25">
        <v>117</v>
      </c>
      <c r="K119" s="12">
        <f t="shared" si="16"/>
        <v>3559</v>
      </c>
      <c r="L119" s="96" t="e">
        <f t="shared" si="17"/>
        <v>#DIV/0!</v>
      </c>
      <c r="M119" s="93" t="e">
        <f t="shared" si="18"/>
        <v>#DIV/0!</v>
      </c>
      <c r="N119" s="93" t="e">
        <f t="shared" si="19"/>
        <v>#DIV/0!</v>
      </c>
      <c r="O119" s="94" t="e">
        <f t="shared" si="20"/>
        <v>#DIV/0!</v>
      </c>
    </row>
    <row r="120" spans="1:15" ht="12.75">
      <c r="A120" s="4">
        <f t="shared" si="21"/>
        <v>41933</v>
      </c>
      <c r="B120" s="9">
        <f>IF(DIAS365('CALCULADORA TIPS E-6'!$E$6,A120)&lt;0,0,DIAS365('CALCULADORA TIPS E-6'!$E$6,A120))</f>
        <v>1155</v>
      </c>
      <c r="C120" s="5">
        <f>+HLOOKUP('CALCULADORA TIPS E-6'!$E$4,Tablas!$B$1:$D$181,'Flujos Mensuales'!J120+1,FALSE)</f>
        <v>0</v>
      </c>
      <c r="D120" s="14" t="e">
        <f t="shared" si="13"/>
        <v>#DIV/0!</v>
      </c>
      <c r="E120" s="15" t="e">
        <f t="shared" si="14"/>
        <v>#DIV/0!</v>
      </c>
      <c r="F120" s="15" t="e">
        <f>ROUND(D119*ROUND(((1+'CALCULADORA TIPS E-6'!$C$14)^(1/12)-1),6),6)</f>
        <v>#DIV/0!</v>
      </c>
      <c r="G120" s="15" t="e">
        <f t="shared" si="15"/>
        <v>#DIV/0!</v>
      </c>
      <c r="H120" s="28" t="e">
        <f>IF($B120=0,0,G120/POWER(1+'CALCULADORA TIPS E-6'!$F$11,'Flujos Mensuales'!$B120/365))</f>
        <v>#DIV/0!</v>
      </c>
      <c r="I120" s="30">
        <f t="shared" si="12"/>
        <v>41933</v>
      </c>
      <c r="J120" s="25">
        <v>118</v>
      </c>
      <c r="K120" s="12">
        <f t="shared" si="16"/>
        <v>3589</v>
      </c>
      <c r="L120" s="96" t="e">
        <f t="shared" si="17"/>
        <v>#DIV/0!</v>
      </c>
      <c r="M120" s="93" t="e">
        <f t="shared" si="18"/>
        <v>#DIV/0!</v>
      </c>
      <c r="N120" s="93" t="e">
        <f t="shared" si="19"/>
        <v>#DIV/0!</v>
      </c>
      <c r="O120" s="94" t="e">
        <f t="shared" si="20"/>
        <v>#DIV/0!</v>
      </c>
    </row>
    <row r="121" spans="1:15" ht="12.75">
      <c r="A121" s="4">
        <f t="shared" si="21"/>
        <v>41964</v>
      </c>
      <c r="B121" s="9">
        <f>IF(DIAS365('CALCULADORA TIPS E-6'!$E$6,A121)&lt;0,0,DIAS365('CALCULADORA TIPS E-6'!$E$6,A121))</f>
        <v>1186</v>
      </c>
      <c r="C121" s="5">
        <f>+HLOOKUP('CALCULADORA TIPS E-6'!$E$4,Tablas!$B$1:$D$181,'Flujos Mensuales'!J121+1,FALSE)</f>
        <v>0</v>
      </c>
      <c r="D121" s="14" t="e">
        <f t="shared" si="13"/>
        <v>#DIV/0!</v>
      </c>
      <c r="E121" s="15" t="e">
        <f t="shared" si="14"/>
        <v>#DIV/0!</v>
      </c>
      <c r="F121" s="15" t="e">
        <f>ROUND(D120*ROUND(((1+'CALCULADORA TIPS E-6'!$C$14)^(1/12)-1),6),6)</f>
        <v>#DIV/0!</v>
      </c>
      <c r="G121" s="15" t="e">
        <f t="shared" si="15"/>
        <v>#DIV/0!</v>
      </c>
      <c r="H121" s="28" t="e">
        <f>IF($B121=0,0,G121/POWER(1+'CALCULADORA TIPS E-6'!$F$11,'Flujos Mensuales'!$B121/365))</f>
        <v>#DIV/0!</v>
      </c>
      <c r="I121" s="30">
        <f t="shared" si="12"/>
        <v>41964</v>
      </c>
      <c r="J121" s="25">
        <v>119</v>
      </c>
      <c r="K121" s="12">
        <f t="shared" si="16"/>
        <v>3620</v>
      </c>
      <c r="L121" s="96" t="e">
        <f t="shared" si="17"/>
        <v>#DIV/0!</v>
      </c>
      <c r="M121" s="93" t="e">
        <f t="shared" si="18"/>
        <v>#DIV/0!</v>
      </c>
      <c r="N121" s="93" t="e">
        <f t="shared" si="19"/>
        <v>#DIV/0!</v>
      </c>
      <c r="O121" s="94" t="e">
        <f t="shared" si="20"/>
        <v>#DIV/0!</v>
      </c>
    </row>
    <row r="122" spans="1:15" ht="12.75">
      <c r="A122" s="4">
        <f t="shared" si="21"/>
        <v>41994</v>
      </c>
      <c r="B122" s="9">
        <f>IF(DIAS365('CALCULADORA TIPS E-6'!$E$6,A122)&lt;0,0,DIAS365('CALCULADORA TIPS E-6'!$E$6,A122))</f>
        <v>1216</v>
      </c>
      <c r="C122" s="5">
        <f>+HLOOKUP('CALCULADORA TIPS E-6'!$E$4,Tablas!$B$1:$D$181,'Flujos Mensuales'!J122+1,FALSE)</f>
        <v>0</v>
      </c>
      <c r="D122" s="14" t="e">
        <f t="shared" si="13"/>
        <v>#DIV/0!</v>
      </c>
      <c r="E122" s="15" t="e">
        <f t="shared" si="14"/>
        <v>#DIV/0!</v>
      </c>
      <c r="F122" s="15" t="e">
        <f>ROUND(D121*ROUND(((1+'CALCULADORA TIPS E-6'!$C$14)^(1/12)-1),6),6)</f>
        <v>#DIV/0!</v>
      </c>
      <c r="G122" s="15" t="e">
        <f t="shared" si="15"/>
        <v>#DIV/0!</v>
      </c>
      <c r="H122" s="28" t="e">
        <f>IF($B122=0,0,G122/POWER(1+'CALCULADORA TIPS E-6'!$F$11,'Flujos Mensuales'!$B122/365))</f>
        <v>#DIV/0!</v>
      </c>
      <c r="I122" s="30">
        <f t="shared" si="12"/>
        <v>41994</v>
      </c>
      <c r="J122" s="25">
        <v>120</v>
      </c>
      <c r="K122" s="12">
        <f t="shared" si="16"/>
        <v>3650</v>
      </c>
      <c r="L122" s="96" t="e">
        <f t="shared" si="17"/>
        <v>#DIV/0!</v>
      </c>
      <c r="M122" s="93" t="e">
        <f t="shared" si="18"/>
        <v>#DIV/0!</v>
      </c>
      <c r="N122" s="93" t="e">
        <f t="shared" si="19"/>
        <v>#DIV/0!</v>
      </c>
      <c r="O122" s="94" t="e">
        <f t="shared" si="20"/>
        <v>#DIV/0!</v>
      </c>
    </row>
    <row r="123" spans="1:15" ht="12.75">
      <c r="A123" s="4">
        <f t="shared" si="21"/>
        <v>42025</v>
      </c>
      <c r="B123" s="9">
        <f>IF(DIAS365('CALCULADORA TIPS E-6'!$E$6,A123)&lt;0,0,DIAS365('CALCULADORA TIPS E-6'!$E$6,A123))</f>
        <v>1247</v>
      </c>
      <c r="C123" s="5">
        <f>+HLOOKUP('CALCULADORA TIPS E-6'!$E$4,Tablas!$B$1:$D$181,'Flujos Mensuales'!J123+1,FALSE)</f>
        <v>0</v>
      </c>
      <c r="D123" s="14" t="e">
        <f t="shared" si="13"/>
        <v>#DIV/0!</v>
      </c>
      <c r="E123" s="15" t="e">
        <f t="shared" si="14"/>
        <v>#DIV/0!</v>
      </c>
      <c r="F123" s="15" t="e">
        <f>ROUND(D122*ROUND(((1+'CALCULADORA TIPS E-6'!$C$14)^(1/12)-1),6),6)</f>
        <v>#DIV/0!</v>
      </c>
      <c r="G123" s="15" t="e">
        <f t="shared" si="15"/>
        <v>#DIV/0!</v>
      </c>
      <c r="H123" s="28" t="e">
        <f>IF($B123=0,0,G123/POWER(1+'CALCULADORA TIPS E-6'!$F$11,'Flujos Mensuales'!$B123/365))</f>
        <v>#DIV/0!</v>
      </c>
      <c r="I123" s="30">
        <f t="shared" si="12"/>
        <v>42025</v>
      </c>
      <c r="J123" s="25">
        <v>121</v>
      </c>
      <c r="K123" s="12">
        <f t="shared" si="16"/>
        <v>3681</v>
      </c>
      <c r="L123" s="96" t="e">
        <f t="shared" si="17"/>
        <v>#DIV/0!</v>
      </c>
      <c r="M123" s="93" t="e">
        <f t="shared" si="18"/>
        <v>#DIV/0!</v>
      </c>
      <c r="N123" s="93" t="e">
        <f t="shared" si="19"/>
        <v>#DIV/0!</v>
      </c>
      <c r="O123" s="94" t="e">
        <f t="shared" si="20"/>
        <v>#DIV/0!</v>
      </c>
    </row>
    <row r="124" spans="1:15" ht="12.75">
      <c r="A124" s="4">
        <f t="shared" si="21"/>
        <v>42056</v>
      </c>
      <c r="B124" s="9">
        <f>IF(DIAS365('CALCULADORA TIPS E-6'!$E$6,A124)&lt;0,0,DIAS365('CALCULADORA TIPS E-6'!$E$6,A124))</f>
        <v>1278</v>
      </c>
      <c r="C124" s="5">
        <f>+HLOOKUP('CALCULADORA TIPS E-6'!$E$4,Tablas!$B$1:$D$181,'Flujos Mensuales'!J124+1,FALSE)</f>
        <v>0</v>
      </c>
      <c r="D124" s="14" t="e">
        <f t="shared" si="13"/>
        <v>#DIV/0!</v>
      </c>
      <c r="E124" s="15" t="e">
        <f t="shared" si="14"/>
        <v>#DIV/0!</v>
      </c>
      <c r="F124" s="15" t="e">
        <f>ROUND(D123*ROUND(((1+'CALCULADORA TIPS E-6'!$C$14)^(1/12)-1),6),6)</f>
        <v>#DIV/0!</v>
      </c>
      <c r="G124" s="15" t="e">
        <f t="shared" si="15"/>
        <v>#DIV/0!</v>
      </c>
      <c r="H124" s="28" t="e">
        <f>IF($B124=0,0,G124/POWER(1+'CALCULADORA TIPS E-6'!$F$11,'Flujos Mensuales'!$B124/365))</f>
        <v>#DIV/0!</v>
      </c>
      <c r="I124" s="30">
        <f t="shared" si="12"/>
        <v>42056</v>
      </c>
      <c r="J124" s="25">
        <v>122</v>
      </c>
      <c r="K124" s="12">
        <f t="shared" si="16"/>
        <v>3712</v>
      </c>
      <c r="L124" s="96" t="e">
        <f t="shared" si="17"/>
        <v>#DIV/0!</v>
      </c>
      <c r="M124" s="93" t="e">
        <f t="shared" si="18"/>
        <v>#DIV/0!</v>
      </c>
      <c r="N124" s="93" t="e">
        <f t="shared" si="19"/>
        <v>#DIV/0!</v>
      </c>
      <c r="O124" s="94" t="e">
        <f t="shared" si="20"/>
        <v>#DIV/0!</v>
      </c>
    </row>
    <row r="125" spans="1:15" ht="12.75">
      <c r="A125" s="4">
        <f t="shared" si="21"/>
        <v>42084</v>
      </c>
      <c r="B125" s="9">
        <f>IF(DIAS365('CALCULADORA TIPS E-6'!$E$6,A125)&lt;0,0,DIAS365('CALCULADORA TIPS E-6'!$E$6,A125))</f>
        <v>1306</v>
      </c>
      <c r="C125" s="5">
        <f>+HLOOKUP('CALCULADORA TIPS E-6'!$E$4,Tablas!$B$1:$D$181,'Flujos Mensuales'!J125+1,FALSE)</f>
        <v>0</v>
      </c>
      <c r="D125" s="14" t="e">
        <f t="shared" si="13"/>
        <v>#DIV/0!</v>
      </c>
      <c r="E125" s="15" t="e">
        <f t="shared" si="14"/>
        <v>#DIV/0!</v>
      </c>
      <c r="F125" s="15" t="e">
        <f>ROUND(D124*ROUND(((1+'CALCULADORA TIPS E-6'!$C$14)^(1/12)-1),6),6)</f>
        <v>#DIV/0!</v>
      </c>
      <c r="G125" s="15" t="e">
        <f t="shared" si="15"/>
        <v>#DIV/0!</v>
      </c>
      <c r="H125" s="28" t="e">
        <f>IF($B125=0,0,G125/POWER(1+'CALCULADORA TIPS E-6'!$F$11,'Flujos Mensuales'!$B125/365))</f>
        <v>#DIV/0!</v>
      </c>
      <c r="I125" s="30">
        <f t="shared" si="12"/>
        <v>42084</v>
      </c>
      <c r="J125" s="25">
        <v>123</v>
      </c>
      <c r="K125" s="12">
        <f t="shared" si="16"/>
        <v>3740</v>
      </c>
      <c r="L125" s="96" t="e">
        <f t="shared" si="17"/>
        <v>#DIV/0!</v>
      </c>
      <c r="M125" s="93" t="e">
        <f t="shared" si="18"/>
        <v>#DIV/0!</v>
      </c>
      <c r="N125" s="93" t="e">
        <f t="shared" si="19"/>
        <v>#DIV/0!</v>
      </c>
      <c r="O125" s="94" t="e">
        <f t="shared" si="20"/>
        <v>#DIV/0!</v>
      </c>
    </row>
    <row r="126" spans="1:15" ht="12.75">
      <c r="A126" s="4">
        <f t="shared" si="21"/>
        <v>42115</v>
      </c>
      <c r="B126" s="9">
        <f>IF(DIAS365('CALCULADORA TIPS E-6'!$E$6,A126)&lt;0,0,DIAS365('CALCULADORA TIPS E-6'!$E$6,A126))</f>
        <v>1337</v>
      </c>
      <c r="C126" s="5">
        <f>+HLOOKUP('CALCULADORA TIPS E-6'!$E$4,Tablas!$B$1:$D$181,'Flujos Mensuales'!J126+1,FALSE)</f>
        <v>0</v>
      </c>
      <c r="D126" s="14" t="e">
        <f t="shared" si="13"/>
        <v>#DIV/0!</v>
      </c>
      <c r="E126" s="15" t="e">
        <f t="shared" si="14"/>
        <v>#DIV/0!</v>
      </c>
      <c r="F126" s="15" t="e">
        <f>ROUND(D125*ROUND(((1+'CALCULADORA TIPS E-6'!$C$14)^(1/12)-1),6),6)</f>
        <v>#DIV/0!</v>
      </c>
      <c r="G126" s="15" t="e">
        <f t="shared" si="15"/>
        <v>#DIV/0!</v>
      </c>
      <c r="H126" s="28" t="e">
        <f>IF($B126=0,0,G126/POWER(1+'CALCULADORA TIPS E-6'!$F$11,'Flujos Mensuales'!$B126/365))</f>
        <v>#DIV/0!</v>
      </c>
      <c r="I126" s="30">
        <f t="shared" si="12"/>
        <v>42115</v>
      </c>
      <c r="J126" s="25">
        <v>124</v>
      </c>
      <c r="K126" s="12">
        <f t="shared" si="16"/>
        <v>3771</v>
      </c>
      <c r="L126" s="96" t="e">
        <f t="shared" si="17"/>
        <v>#DIV/0!</v>
      </c>
      <c r="M126" s="93" t="e">
        <f t="shared" si="18"/>
        <v>#DIV/0!</v>
      </c>
      <c r="N126" s="93" t="e">
        <f t="shared" si="19"/>
        <v>#DIV/0!</v>
      </c>
      <c r="O126" s="94" t="e">
        <f t="shared" si="20"/>
        <v>#DIV/0!</v>
      </c>
    </row>
    <row r="127" spans="1:15" ht="12.75">
      <c r="A127" s="4">
        <f t="shared" si="21"/>
        <v>42145</v>
      </c>
      <c r="B127" s="9">
        <f>IF(DIAS365('CALCULADORA TIPS E-6'!$E$6,A127)&lt;0,0,DIAS365('CALCULADORA TIPS E-6'!$E$6,A127))</f>
        <v>1367</v>
      </c>
      <c r="C127" s="5">
        <f>+HLOOKUP('CALCULADORA TIPS E-6'!$E$4,Tablas!$B$1:$D$181,'Flujos Mensuales'!J127+1,FALSE)</f>
        <v>0</v>
      </c>
      <c r="D127" s="14" t="e">
        <f t="shared" si="13"/>
        <v>#DIV/0!</v>
      </c>
      <c r="E127" s="15" t="e">
        <f t="shared" si="14"/>
        <v>#DIV/0!</v>
      </c>
      <c r="F127" s="15" t="e">
        <f>ROUND(D126*ROUND(((1+'CALCULADORA TIPS E-6'!$C$14)^(1/12)-1),6),6)</f>
        <v>#DIV/0!</v>
      </c>
      <c r="G127" s="15" t="e">
        <f t="shared" si="15"/>
        <v>#DIV/0!</v>
      </c>
      <c r="H127" s="28" t="e">
        <f>IF($B127=0,0,G127/POWER(1+'CALCULADORA TIPS E-6'!$F$11,'Flujos Mensuales'!$B127/365))</f>
        <v>#DIV/0!</v>
      </c>
      <c r="I127" s="30">
        <f t="shared" si="12"/>
        <v>42145</v>
      </c>
      <c r="J127" s="25">
        <v>125</v>
      </c>
      <c r="K127" s="12">
        <f t="shared" si="16"/>
        <v>3801</v>
      </c>
      <c r="L127" s="96" t="e">
        <f t="shared" si="17"/>
        <v>#DIV/0!</v>
      </c>
      <c r="M127" s="93" t="e">
        <f t="shared" si="18"/>
        <v>#DIV/0!</v>
      </c>
      <c r="N127" s="93" t="e">
        <f t="shared" si="19"/>
        <v>#DIV/0!</v>
      </c>
      <c r="O127" s="94" t="e">
        <f t="shared" si="20"/>
        <v>#DIV/0!</v>
      </c>
    </row>
    <row r="128" spans="1:15" ht="12.75">
      <c r="A128" s="4">
        <f t="shared" si="21"/>
        <v>42176</v>
      </c>
      <c r="B128" s="9">
        <f>IF(DIAS365('CALCULADORA TIPS E-6'!$E$6,A128)&lt;0,0,DIAS365('CALCULADORA TIPS E-6'!$E$6,A128))</f>
        <v>1398</v>
      </c>
      <c r="C128" s="5">
        <f>+HLOOKUP('CALCULADORA TIPS E-6'!$E$4,Tablas!$B$1:$D$181,'Flujos Mensuales'!J128+1,FALSE)</f>
        <v>0</v>
      </c>
      <c r="D128" s="14" t="e">
        <f t="shared" si="13"/>
        <v>#DIV/0!</v>
      </c>
      <c r="E128" s="15" t="e">
        <f t="shared" si="14"/>
        <v>#DIV/0!</v>
      </c>
      <c r="F128" s="15" t="e">
        <f>ROUND(D127*ROUND(((1+'CALCULADORA TIPS E-6'!$C$14)^(1/12)-1),6),6)</f>
        <v>#DIV/0!</v>
      </c>
      <c r="G128" s="15" t="e">
        <f t="shared" si="15"/>
        <v>#DIV/0!</v>
      </c>
      <c r="H128" s="28" t="e">
        <f>IF($B128=0,0,G128/POWER(1+'CALCULADORA TIPS E-6'!$F$11,'Flujos Mensuales'!$B128/365))</f>
        <v>#DIV/0!</v>
      </c>
      <c r="I128" s="30">
        <f t="shared" si="12"/>
        <v>42176</v>
      </c>
      <c r="J128" s="25">
        <v>126</v>
      </c>
      <c r="K128" s="12">
        <f t="shared" si="16"/>
        <v>3832</v>
      </c>
      <c r="L128" s="96" t="e">
        <f t="shared" si="17"/>
        <v>#DIV/0!</v>
      </c>
      <c r="M128" s="93" t="e">
        <f t="shared" si="18"/>
        <v>#DIV/0!</v>
      </c>
      <c r="N128" s="93" t="e">
        <f t="shared" si="19"/>
        <v>#DIV/0!</v>
      </c>
      <c r="O128" s="94" t="e">
        <f t="shared" si="20"/>
        <v>#DIV/0!</v>
      </c>
    </row>
    <row r="129" spans="1:15" ht="12.75">
      <c r="A129" s="4">
        <f t="shared" si="21"/>
        <v>42206</v>
      </c>
      <c r="B129" s="9">
        <f>IF(DIAS365('CALCULADORA TIPS E-6'!$E$6,A129)&lt;0,0,DIAS365('CALCULADORA TIPS E-6'!$E$6,A129))</f>
        <v>1428</v>
      </c>
      <c r="C129" s="5">
        <f>+HLOOKUP('CALCULADORA TIPS E-6'!$E$4,Tablas!$B$1:$D$181,'Flujos Mensuales'!J129+1,FALSE)</f>
        <v>0</v>
      </c>
      <c r="D129" s="14" t="e">
        <f t="shared" si="13"/>
        <v>#DIV/0!</v>
      </c>
      <c r="E129" s="15" t="e">
        <f t="shared" si="14"/>
        <v>#DIV/0!</v>
      </c>
      <c r="F129" s="15" t="e">
        <f>ROUND(D128*ROUND(((1+'CALCULADORA TIPS E-6'!$C$14)^(1/12)-1),6),6)</f>
        <v>#DIV/0!</v>
      </c>
      <c r="G129" s="15" t="e">
        <f t="shared" si="15"/>
        <v>#DIV/0!</v>
      </c>
      <c r="H129" s="28" t="e">
        <f>IF($B129=0,0,G129/POWER(1+'CALCULADORA TIPS E-6'!$F$11,'Flujos Mensuales'!$B129/365))</f>
        <v>#DIV/0!</v>
      </c>
      <c r="I129" s="30">
        <f t="shared" si="12"/>
        <v>42206</v>
      </c>
      <c r="J129" s="25">
        <v>127</v>
      </c>
      <c r="K129" s="12">
        <f t="shared" si="16"/>
        <v>3862</v>
      </c>
      <c r="L129" s="96" t="e">
        <f t="shared" si="17"/>
        <v>#DIV/0!</v>
      </c>
      <c r="M129" s="93" t="e">
        <f t="shared" si="18"/>
        <v>#DIV/0!</v>
      </c>
      <c r="N129" s="93" t="e">
        <f t="shared" si="19"/>
        <v>#DIV/0!</v>
      </c>
      <c r="O129" s="94" t="e">
        <f t="shared" si="20"/>
        <v>#DIV/0!</v>
      </c>
    </row>
    <row r="130" spans="1:15" ht="12.75">
      <c r="A130" s="4">
        <f t="shared" si="21"/>
        <v>42237</v>
      </c>
      <c r="B130" s="9">
        <f>IF(DIAS365('CALCULADORA TIPS E-6'!$E$6,A130)&lt;0,0,DIAS365('CALCULADORA TIPS E-6'!$E$6,A130))</f>
        <v>1459</v>
      </c>
      <c r="C130" s="5">
        <f>+HLOOKUP('CALCULADORA TIPS E-6'!$E$4,Tablas!$B$1:$D$181,'Flujos Mensuales'!J130+1,FALSE)</f>
        <v>0</v>
      </c>
      <c r="D130" s="14" t="e">
        <f t="shared" si="13"/>
        <v>#DIV/0!</v>
      </c>
      <c r="E130" s="15" t="e">
        <f t="shared" si="14"/>
        <v>#DIV/0!</v>
      </c>
      <c r="F130" s="15" t="e">
        <f>ROUND(D129*ROUND(((1+'CALCULADORA TIPS E-6'!$C$14)^(1/12)-1),6),6)</f>
        <v>#DIV/0!</v>
      </c>
      <c r="G130" s="15" t="e">
        <f t="shared" si="15"/>
        <v>#DIV/0!</v>
      </c>
      <c r="H130" s="28" t="e">
        <f>IF($B130=0,0,G130/POWER(1+'CALCULADORA TIPS E-6'!$F$11,'Flujos Mensuales'!$B130/365))</f>
        <v>#DIV/0!</v>
      </c>
      <c r="I130" s="30">
        <f t="shared" si="12"/>
        <v>42237</v>
      </c>
      <c r="J130" s="25">
        <v>128</v>
      </c>
      <c r="K130" s="12">
        <f t="shared" si="16"/>
        <v>3893</v>
      </c>
      <c r="L130" s="96" t="e">
        <f t="shared" si="17"/>
        <v>#DIV/0!</v>
      </c>
      <c r="M130" s="93" t="e">
        <f t="shared" si="18"/>
        <v>#DIV/0!</v>
      </c>
      <c r="N130" s="93" t="e">
        <f t="shared" si="19"/>
        <v>#DIV/0!</v>
      </c>
      <c r="O130" s="94" t="e">
        <f t="shared" si="20"/>
        <v>#DIV/0!</v>
      </c>
    </row>
    <row r="131" spans="1:15" ht="12.75">
      <c r="A131" s="4">
        <f aca="true" t="shared" si="22" ref="A131:A162">_XLL.FECHA.MES(A130,1)</f>
        <v>42268</v>
      </c>
      <c r="B131" s="9">
        <f>IF(DIAS365('CALCULADORA TIPS E-6'!$E$6,A131)&lt;0,0,DIAS365('CALCULADORA TIPS E-6'!$E$6,A131))</f>
        <v>1490</v>
      </c>
      <c r="C131" s="5">
        <f>+HLOOKUP('CALCULADORA TIPS E-6'!$E$4,Tablas!$B$1:$D$181,'Flujos Mensuales'!J131+1,FALSE)</f>
        <v>0</v>
      </c>
      <c r="D131" s="14" t="e">
        <f t="shared" si="13"/>
        <v>#DIV/0!</v>
      </c>
      <c r="E131" s="15" t="e">
        <f t="shared" si="14"/>
        <v>#DIV/0!</v>
      </c>
      <c r="F131" s="15" t="e">
        <f>ROUND(D130*ROUND(((1+'CALCULADORA TIPS E-6'!$C$14)^(1/12)-1),6),6)</f>
        <v>#DIV/0!</v>
      </c>
      <c r="G131" s="15" t="e">
        <f t="shared" si="15"/>
        <v>#DIV/0!</v>
      </c>
      <c r="H131" s="28" t="e">
        <f>IF($B131=0,0,G131/POWER(1+'CALCULADORA TIPS E-6'!$F$11,'Flujos Mensuales'!$B131/365))</f>
        <v>#DIV/0!</v>
      </c>
      <c r="I131" s="30">
        <f aca="true" t="shared" si="23" ref="I131:I182">+A131</f>
        <v>42268</v>
      </c>
      <c r="J131" s="25">
        <v>129</v>
      </c>
      <c r="K131" s="12">
        <f t="shared" si="16"/>
        <v>3924</v>
      </c>
      <c r="L131" s="96" t="e">
        <f t="shared" si="17"/>
        <v>#DIV/0!</v>
      </c>
      <c r="M131" s="93" t="e">
        <f t="shared" si="18"/>
        <v>#DIV/0!</v>
      </c>
      <c r="N131" s="93" t="e">
        <f t="shared" si="19"/>
        <v>#DIV/0!</v>
      </c>
      <c r="O131" s="94" t="e">
        <f t="shared" si="20"/>
        <v>#DIV/0!</v>
      </c>
    </row>
    <row r="132" spans="1:15" ht="12.75">
      <c r="A132" s="4">
        <f t="shared" si="22"/>
        <v>42298</v>
      </c>
      <c r="B132" s="9">
        <f>IF(DIAS365('CALCULADORA TIPS E-6'!$E$6,A132)&lt;0,0,DIAS365('CALCULADORA TIPS E-6'!$E$6,A132))</f>
        <v>1520</v>
      </c>
      <c r="C132" s="5">
        <f>+HLOOKUP('CALCULADORA TIPS E-6'!$E$4,Tablas!$B$1:$D$181,'Flujos Mensuales'!J132+1,FALSE)</f>
        <v>0</v>
      </c>
      <c r="D132" s="14" t="e">
        <f aca="true" t="shared" si="24" ref="D132:D182">+ROUND(D131-E132,6)</f>
        <v>#DIV/0!</v>
      </c>
      <c r="E132" s="15" t="e">
        <f aca="true" t="shared" si="25" ref="E132:E182">ROUND(C132*$D$2,6)</f>
        <v>#DIV/0!</v>
      </c>
      <c r="F132" s="15" t="e">
        <f>ROUND(D131*ROUND(((1+'CALCULADORA TIPS E-6'!$C$14)^(1/12)-1),6),6)</f>
        <v>#DIV/0!</v>
      </c>
      <c r="G132" s="15" t="e">
        <f aca="true" t="shared" si="26" ref="G132:G182">F132+E132</f>
        <v>#DIV/0!</v>
      </c>
      <c r="H132" s="28" t="e">
        <f>IF($B132=0,0,G132/POWER(1+'CALCULADORA TIPS E-6'!$F$11,'Flujos Mensuales'!$B132/365))</f>
        <v>#DIV/0!</v>
      </c>
      <c r="I132" s="30">
        <f t="shared" si="23"/>
        <v>42298</v>
      </c>
      <c r="J132" s="25">
        <v>130</v>
      </c>
      <c r="K132" s="12">
        <f aca="true" t="shared" si="27" ref="K132:K182">+DIAS365($A$2,A132)</f>
        <v>3954</v>
      </c>
      <c r="L132" s="96" t="e">
        <f aca="true" t="shared" si="28" ref="L132:L182">+L131-M132</f>
        <v>#DIV/0!</v>
      </c>
      <c r="M132" s="93" t="e">
        <f aca="true" t="shared" si="29" ref="M132:M182">+$L$2*C132</f>
        <v>#DIV/0!</v>
      </c>
      <c r="N132" s="93" t="e">
        <f aca="true" t="shared" si="30" ref="N132:N182">+L131*$F$3%</f>
        <v>#DIV/0!</v>
      </c>
      <c r="O132" s="94" t="e">
        <f aca="true" t="shared" si="31" ref="O132:O182">+N132+M132</f>
        <v>#DIV/0!</v>
      </c>
    </row>
    <row r="133" spans="1:15" ht="12.75">
      <c r="A133" s="4">
        <f t="shared" si="22"/>
        <v>42329</v>
      </c>
      <c r="B133" s="9">
        <f>IF(DIAS365('CALCULADORA TIPS E-6'!$E$6,A133)&lt;0,0,DIAS365('CALCULADORA TIPS E-6'!$E$6,A133))</f>
        <v>1551</v>
      </c>
      <c r="C133" s="5">
        <f>+HLOOKUP('CALCULADORA TIPS E-6'!$E$4,Tablas!$B$1:$D$181,'Flujos Mensuales'!J133+1,FALSE)</f>
        <v>0</v>
      </c>
      <c r="D133" s="14" t="e">
        <f t="shared" si="24"/>
        <v>#DIV/0!</v>
      </c>
      <c r="E133" s="15" t="e">
        <f t="shared" si="25"/>
        <v>#DIV/0!</v>
      </c>
      <c r="F133" s="15" t="e">
        <f>ROUND(D132*ROUND(((1+'CALCULADORA TIPS E-6'!$C$14)^(1/12)-1),6),6)</f>
        <v>#DIV/0!</v>
      </c>
      <c r="G133" s="15" t="e">
        <f t="shared" si="26"/>
        <v>#DIV/0!</v>
      </c>
      <c r="H133" s="28" t="e">
        <f>IF($B133=0,0,G133/POWER(1+'CALCULADORA TIPS E-6'!$F$11,'Flujos Mensuales'!$B133/365))</f>
        <v>#DIV/0!</v>
      </c>
      <c r="I133" s="30">
        <f t="shared" si="23"/>
        <v>42329</v>
      </c>
      <c r="J133" s="25">
        <v>131</v>
      </c>
      <c r="K133" s="12">
        <f t="shared" si="27"/>
        <v>3985</v>
      </c>
      <c r="L133" s="96" t="e">
        <f t="shared" si="28"/>
        <v>#DIV/0!</v>
      </c>
      <c r="M133" s="93" t="e">
        <f t="shared" si="29"/>
        <v>#DIV/0!</v>
      </c>
      <c r="N133" s="93" t="e">
        <f t="shared" si="30"/>
        <v>#DIV/0!</v>
      </c>
      <c r="O133" s="94" t="e">
        <f t="shared" si="31"/>
        <v>#DIV/0!</v>
      </c>
    </row>
    <row r="134" spans="1:15" ht="12.75">
      <c r="A134" s="4">
        <f t="shared" si="22"/>
        <v>42359</v>
      </c>
      <c r="B134" s="9">
        <f>IF(DIAS365('CALCULADORA TIPS E-6'!$E$6,A134)&lt;0,0,DIAS365('CALCULADORA TIPS E-6'!$E$6,A134))</f>
        <v>1581</v>
      </c>
      <c r="C134" s="5">
        <f>+HLOOKUP('CALCULADORA TIPS E-6'!$E$4,Tablas!$B$1:$D$181,'Flujos Mensuales'!J134+1,FALSE)</f>
        <v>0</v>
      </c>
      <c r="D134" s="14" t="e">
        <f t="shared" si="24"/>
        <v>#DIV/0!</v>
      </c>
      <c r="E134" s="15" t="e">
        <f t="shared" si="25"/>
        <v>#DIV/0!</v>
      </c>
      <c r="F134" s="15" t="e">
        <f>ROUND(D133*ROUND(((1+'CALCULADORA TIPS E-6'!$C$14)^(1/12)-1),6),6)</f>
        <v>#DIV/0!</v>
      </c>
      <c r="G134" s="15" t="e">
        <f t="shared" si="26"/>
        <v>#DIV/0!</v>
      </c>
      <c r="H134" s="28" t="e">
        <f>IF($B134=0,0,G134/POWER(1+'CALCULADORA TIPS E-6'!$F$11,'Flujos Mensuales'!$B134/365))</f>
        <v>#DIV/0!</v>
      </c>
      <c r="I134" s="30">
        <f t="shared" si="23"/>
        <v>42359</v>
      </c>
      <c r="J134" s="25">
        <v>132</v>
      </c>
      <c r="K134" s="12">
        <f t="shared" si="27"/>
        <v>4015</v>
      </c>
      <c r="L134" s="96" t="e">
        <f t="shared" si="28"/>
        <v>#DIV/0!</v>
      </c>
      <c r="M134" s="93" t="e">
        <f t="shared" si="29"/>
        <v>#DIV/0!</v>
      </c>
      <c r="N134" s="93" t="e">
        <f t="shared" si="30"/>
        <v>#DIV/0!</v>
      </c>
      <c r="O134" s="94" t="e">
        <f t="shared" si="31"/>
        <v>#DIV/0!</v>
      </c>
    </row>
    <row r="135" spans="1:15" ht="12.75">
      <c r="A135" s="4">
        <f t="shared" si="22"/>
        <v>42390</v>
      </c>
      <c r="B135" s="9">
        <f>IF(DIAS365('CALCULADORA TIPS E-6'!$E$6,A135)&lt;0,0,DIAS365('CALCULADORA TIPS E-6'!$E$6,A135))</f>
        <v>1612</v>
      </c>
      <c r="C135" s="5">
        <f>+HLOOKUP('CALCULADORA TIPS E-6'!$E$4,Tablas!$B$1:$D$181,'Flujos Mensuales'!J135+1,FALSE)</f>
        <v>0</v>
      </c>
      <c r="D135" s="14" t="e">
        <f t="shared" si="24"/>
        <v>#DIV/0!</v>
      </c>
      <c r="E135" s="15" t="e">
        <f t="shared" si="25"/>
        <v>#DIV/0!</v>
      </c>
      <c r="F135" s="15" t="e">
        <f>ROUND(D134*ROUND(((1+'CALCULADORA TIPS E-6'!$C$14)^(1/12)-1),6),6)</f>
        <v>#DIV/0!</v>
      </c>
      <c r="G135" s="15" t="e">
        <f t="shared" si="26"/>
        <v>#DIV/0!</v>
      </c>
      <c r="H135" s="28" t="e">
        <f>IF($B135=0,0,G135/POWER(1+'CALCULADORA TIPS E-6'!$F$11,'Flujos Mensuales'!$B135/365))</f>
        <v>#DIV/0!</v>
      </c>
      <c r="I135" s="30">
        <f t="shared" si="23"/>
        <v>42390</v>
      </c>
      <c r="J135" s="25">
        <v>133</v>
      </c>
      <c r="K135" s="12">
        <f t="shared" si="27"/>
        <v>4046</v>
      </c>
      <c r="L135" s="96" t="e">
        <f t="shared" si="28"/>
        <v>#DIV/0!</v>
      </c>
      <c r="M135" s="93" t="e">
        <f t="shared" si="29"/>
        <v>#DIV/0!</v>
      </c>
      <c r="N135" s="93" t="e">
        <f t="shared" si="30"/>
        <v>#DIV/0!</v>
      </c>
      <c r="O135" s="94" t="e">
        <f t="shared" si="31"/>
        <v>#DIV/0!</v>
      </c>
    </row>
    <row r="136" spans="1:15" ht="12.75">
      <c r="A136" s="4">
        <f t="shared" si="22"/>
        <v>42421</v>
      </c>
      <c r="B136" s="9">
        <f>IF(DIAS365('CALCULADORA TIPS E-6'!$E$6,A136)&lt;0,0,DIAS365('CALCULADORA TIPS E-6'!$E$6,A136))</f>
        <v>1643</v>
      </c>
      <c r="C136" s="5">
        <f>+HLOOKUP('CALCULADORA TIPS E-6'!$E$4,Tablas!$B$1:$D$181,'Flujos Mensuales'!J136+1,FALSE)</f>
        <v>0</v>
      </c>
      <c r="D136" s="14" t="e">
        <f t="shared" si="24"/>
        <v>#DIV/0!</v>
      </c>
      <c r="E136" s="15" t="e">
        <f t="shared" si="25"/>
        <v>#DIV/0!</v>
      </c>
      <c r="F136" s="15" t="e">
        <f>ROUND(D135*ROUND(((1+'CALCULADORA TIPS E-6'!$C$14)^(1/12)-1),6),6)</f>
        <v>#DIV/0!</v>
      </c>
      <c r="G136" s="15" t="e">
        <f t="shared" si="26"/>
        <v>#DIV/0!</v>
      </c>
      <c r="H136" s="28" t="e">
        <f>IF($B136=0,0,G136/POWER(1+'CALCULADORA TIPS E-6'!$F$11,'Flujos Mensuales'!$B136/365))</f>
        <v>#DIV/0!</v>
      </c>
      <c r="I136" s="30">
        <f t="shared" si="23"/>
        <v>42421</v>
      </c>
      <c r="J136" s="25">
        <v>134</v>
      </c>
      <c r="K136" s="12">
        <f t="shared" si="27"/>
        <v>4077</v>
      </c>
      <c r="L136" s="96" t="e">
        <f t="shared" si="28"/>
        <v>#DIV/0!</v>
      </c>
      <c r="M136" s="93" t="e">
        <f t="shared" si="29"/>
        <v>#DIV/0!</v>
      </c>
      <c r="N136" s="93" t="e">
        <f t="shared" si="30"/>
        <v>#DIV/0!</v>
      </c>
      <c r="O136" s="94" t="e">
        <f t="shared" si="31"/>
        <v>#DIV/0!</v>
      </c>
    </row>
    <row r="137" spans="1:15" ht="12.75">
      <c r="A137" s="4">
        <f t="shared" si="22"/>
        <v>42450</v>
      </c>
      <c r="B137" s="9">
        <f>IF(DIAS365('CALCULADORA TIPS E-6'!$E$6,A137)&lt;0,0,DIAS365('CALCULADORA TIPS E-6'!$E$6,A137))</f>
        <v>1671</v>
      </c>
      <c r="C137" s="5">
        <f>+HLOOKUP('CALCULADORA TIPS E-6'!$E$4,Tablas!$B$1:$D$181,'Flujos Mensuales'!J137+1,FALSE)</f>
        <v>0</v>
      </c>
      <c r="D137" s="14" t="e">
        <f t="shared" si="24"/>
        <v>#DIV/0!</v>
      </c>
      <c r="E137" s="15" t="e">
        <f t="shared" si="25"/>
        <v>#DIV/0!</v>
      </c>
      <c r="F137" s="15" t="e">
        <f>ROUND(D136*ROUND(((1+'CALCULADORA TIPS E-6'!$C$14)^(1/12)-1),6),6)</f>
        <v>#DIV/0!</v>
      </c>
      <c r="G137" s="15" t="e">
        <f t="shared" si="26"/>
        <v>#DIV/0!</v>
      </c>
      <c r="H137" s="28" t="e">
        <f>IF($B137=0,0,G137/POWER(1+'CALCULADORA TIPS E-6'!$F$11,'Flujos Mensuales'!$B137/365))</f>
        <v>#DIV/0!</v>
      </c>
      <c r="I137" s="30">
        <f t="shared" si="23"/>
        <v>42450</v>
      </c>
      <c r="J137" s="25">
        <v>135</v>
      </c>
      <c r="K137" s="12">
        <f t="shared" si="27"/>
        <v>4105</v>
      </c>
      <c r="L137" s="96" t="e">
        <f t="shared" si="28"/>
        <v>#DIV/0!</v>
      </c>
      <c r="M137" s="93" t="e">
        <f t="shared" si="29"/>
        <v>#DIV/0!</v>
      </c>
      <c r="N137" s="93" t="e">
        <f t="shared" si="30"/>
        <v>#DIV/0!</v>
      </c>
      <c r="O137" s="94" t="e">
        <f t="shared" si="31"/>
        <v>#DIV/0!</v>
      </c>
    </row>
    <row r="138" spans="1:15" ht="12.75">
      <c r="A138" s="4">
        <f t="shared" si="22"/>
        <v>42481</v>
      </c>
      <c r="B138" s="9">
        <f>IF(DIAS365('CALCULADORA TIPS E-6'!$E$6,A138)&lt;0,0,DIAS365('CALCULADORA TIPS E-6'!$E$6,A138))</f>
        <v>1702</v>
      </c>
      <c r="C138" s="5">
        <f>+HLOOKUP('CALCULADORA TIPS E-6'!$E$4,Tablas!$B$1:$D$181,'Flujos Mensuales'!J138+1,FALSE)</f>
        <v>0</v>
      </c>
      <c r="D138" s="14" t="e">
        <f t="shared" si="24"/>
        <v>#DIV/0!</v>
      </c>
      <c r="E138" s="15" t="e">
        <f t="shared" si="25"/>
        <v>#DIV/0!</v>
      </c>
      <c r="F138" s="15" t="e">
        <f>ROUND(D137*ROUND(((1+'CALCULADORA TIPS E-6'!$C$14)^(1/12)-1),6),6)</f>
        <v>#DIV/0!</v>
      </c>
      <c r="G138" s="15" t="e">
        <f t="shared" si="26"/>
        <v>#DIV/0!</v>
      </c>
      <c r="H138" s="28" t="e">
        <f>IF($B138=0,0,G138/POWER(1+'CALCULADORA TIPS E-6'!$F$11,'Flujos Mensuales'!$B138/365))</f>
        <v>#DIV/0!</v>
      </c>
      <c r="I138" s="30">
        <f t="shared" si="23"/>
        <v>42481</v>
      </c>
      <c r="J138" s="25">
        <v>136</v>
      </c>
      <c r="K138" s="12">
        <f t="shared" si="27"/>
        <v>4136</v>
      </c>
      <c r="L138" s="96" t="e">
        <f t="shared" si="28"/>
        <v>#DIV/0!</v>
      </c>
      <c r="M138" s="93" t="e">
        <f t="shared" si="29"/>
        <v>#DIV/0!</v>
      </c>
      <c r="N138" s="93" t="e">
        <f t="shared" si="30"/>
        <v>#DIV/0!</v>
      </c>
      <c r="O138" s="94" t="e">
        <f t="shared" si="31"/>
        <v>#DIV/0!</v>
      </c>
    </row>
    <row r="139" spans="1:15" ht="12.75">
      <c r="A139" s="4">
        <f t="shared" si="22"/>
        <v>42511</v>
      </c>
      <c r="B139" s="9">
        <f>IF(DIAS365('CALCULADORA TIPS E-6'!$E$6,A139)&lt;0,0,DIAS365('CALCULADORA TIPS E-6'!$E$6,A139))</f>
        <v>1732</v>
      </c>
      <c r="C139" s="5">
        <f>+HLOOKUP('CALCULADORA TIPS E-6'!$E$4,Tablas!$B$1:$D$181,'Flujos Mensuales'!J139+1,FALSE)</f>
        <v>0</v>
      </c>
      <c r="D139" s="14" t="e">
        <f t="shared" si="24"/>
        <v>#DIV/0!</v>
      </c>
      <c r="E139" s="15" t="e">
        <f t="shared" si="25"/>
        <v>#DIV/0!</v>
      </c>
      <c r="F139" s="15" t="e">
        <f>ROUND(D138*ROUND(((1+'CALCULADORA TIPS E-6'!$C$14)^(1/12)-1),6),6)</f>
        <v>#DIV/0!</v>
      </c>
      <c r="G139" s="15" t="e">
        <f t="shared" si="26"/>
        <v>#DIV/0!</v>
      </c>
      <c r="H139" s="28" t="e">
        <f>IF($B139=0,0,G139/POWER(1+'CALCULADORA TIPS E-6'!$F$11,'Flujos Mensuales'!$B139/365))</f>
        <v>#DIV/0!</v>
      </c>
      <c r="I139" s="30">
        <f t="shared" si="23"/>
        <v>42511</v>
      </c>
      <c r="J139" s="25">
        <v>137</v>
      </c>
      <c r="K139" s="12">
        <f t="shared" si="27"/>
        <v>4166</v>
      </c>
      <c r="L139" s="96" t="e">
        <f t="shared" si="28"/>
        <v>#DIV/0!</v>
      </c>
      <c r="M139" s="93" t="e">
        <f t="shared" si="29"/>
        <v>#DIV/0!</v>
      </c>
      <c r="N139" s="93" t="e">
        <f t="shared" si="30"/>
        <v>#DIV/0!</v>
      </c>
      <c r="O139" s="94" t="e">
        <f t="shared" si="31"/>
        <v>#DIV/0!</v>
      </c>
    </row>
    <row r="140" spans="1:15" ht="12.75">
      <c r="A140" s="4">
        <f t="shared" si="22"/>
        <v>42542</v>
      </c>
      <c r="B140" s="9">
        <f>IF(DIAS365('CALCULADORA TIPS E-6'!$E$6,A140)&lt;0,0,DIAS365('CALCULADORA TIPS E-6'!$E$6,A140))</f>
        <v>1763</v>
      </c>
      <c r="C140" s="5">
        <f>+HLOOKUP('CALCULADORA TIPS E-6'!$E$4,Tablas!$B$1:$D$181,'Flujos Mensuales'!J140+1,FALSE)</f>
        <v>0</v>
      </c>
      <c r="D140" s="14" t="e">
        <f t="shared" si="24"/>
        <v>#DIV/0!</v>
      </c>
      <c r="E140" s="15" t="e">
        <f t="shared" si="25"/>
        <v>#DIV/0!</v>
      </c>
      <c r="F140" s="15" t="e">
        <f>ROUND(D139*ROUND(((1+'CALCULADORA TIPS E-6'!$C$14)^(1/12)-1),6),6)</f>
        <v>#DIV/0!</v>
      </c>
      <c r="G140" s="15" t="e">
        <f t="shared" si="26"/>
        <v>#DIV/0!</v>
      </c>
      <c r="H140" s="28" t="e">
        <f>IF($B140=0,0,G140/POWER(1+'CALCULADORA TIPS E-6'!$F$11,'Flujos Mensuales'!$B140/365))</f>
        <v>#DIV/0!</v>
      </c>
      <c r="I140" s="30">
        <f t="shared" si="23"/>
        <v>42542</v>
      </c>
      <c r="J140" s="25">
        <v>138</v>
      </c>
      <c r="K140" s="12">
        <f t="shared" si="27"/>
        <v>4197</v>
      </c>
      <c r="L140" s="96" t="e">
        <f t="shared" si="28"/>
        <v>#DIV/0!</v>
      </c>
      <c r="M140" s="93" t="e">
        <f t="shared" si="29"/>
        <v>#DIV/0!</v>
      </c>
      <c r="N140" s="93" t="e">
        <f t="shared" si="30"/>
        <v>#DIV/0!</v>
      </c>
      <c r="O140" s="94" t="e">
        <f t="shared" si="31"/>
        <v>#DIV/0!</v>
      </c>
    </row>
    <row r="141" spans="1:15" ht="12.75">
      <c r="A141" s="4">
        <f t="shared" si="22"/>
        <v>42572</v>
      </c>
      <c r="B141" s="9">
        <f>IF(DIAS365('CALCULADORA TIPS E-6'!$E$6,A141)&lt;0,0,DIAS365('CALCULADORA TIPS E-6'!$E$6,A141))</f>
        <v>1793</v>
      </c>
      <c r="C141" s="5">
        <f>+HLOOKUP('CALCULADORA TIPS E-6'!$E$4,Tablas!$B$1:$D$181,'Flujos Mensuales'!J141+1,FALSE)</f>
        <v>0</v>
      </c>
      <c r="D141" s="14" t="e">
        <f t="shared" si="24"/>
        <v>#DIV/0!</v>
      </c>
      <c r="E141" s="15" t="e">
        <f t="shared" si="25"/>
        <v>#DIV/0!</v>
      </c>
      <c r="F141" s="15" t="e">
        <f>ROUND(D140*ROUND(((1+'CALCULADORA TIPS E-6'!$C$14)^(1/12)-1),6),6)</f>
        <v>#DIV/0!</v>
      </c>
      <c r="G141" s="15" t="e">
        <f t="shared" si="26"/>
        <v>#DIV/0!</v>
      </c>
      <c r="H141" s="28" t="e">
        <f>IF($B141=0,0,G141/POWER(1+'CALCULADORA TIPS E-6'!$F$11,'Flujos Mensuales'!$B141/365))</f>
        <v>#DIV/0!</v>
      </c>
      <c r="I141" s="30">
        <f t="shared" si="23"/>
        <v>42572</v>
      </c>
      <c r="J141" s="25">
        <v>139</v>
      </c>
      <c r="K141" s="12">
        <f t="shared" si="27"/>
        <v>4227</v>
      </c>
      <c r="L141" s="96" t="e">
        <f t="shared" si="28"/>
        <v>#DIV/0!</v>
      </c>
      <c r="M141" s="93" t="e">
        <f t="shared" si="29"/>
        <v>#DIV/0!</v>
      </c>
      <c r="N141" s="93" t="e">
        <f t="shared" si="30"/>
        <v>#DIV/0!</v>
      </c>
      <c r="O141" s="94" t="e">
        <f t="shared" si="31"/>
        <v>#DIV/0!</v>
      </c>
    </row>
    <row r="142" spans="1:15" ht="12.75">
      <c r="A142" s="4">
        <f t="shared" si="22"/>
        <v>42603</v>
      </c>
      <c r="B142" s="9">
        <f>IF(DIAS365('CALCULADORA TIPS E-6'!$E$6,A142)&lt;0,0,DIAS365('CALCULADORA TIPS E-6'!$E$6,A142))</f>
        <v>1824</v>
      </c>
      <c r="C142" s="5">
        <f>+HLOOKUP('CALCULADORA TIPS E-6'!$E$4,Tablas!$B$1:$D$181,'Flujos Mensuales'!J142+1,FALSE)</f>
        <v>0</v>
      </c>
      <c r="D142" s="14" t="e">
        <f t="shared" si="24"/>
        <v>#DIV/0!</v>
      </c>
      <c r="E142" s="15" t="e">
        <f t="shared" si="25"/>
        <v>#DIV/0!</v>
      </c>
      <c r="F142" s="15" t="e">
        <f>ROUND(D141*ROUND(((1+'CALCULADORA TIPS E-6'!$C$14)^(1/12)-1),6),6)</f>
        <v>#DIV/0!</v>
      </c>
      <c r="G142" s="15" t="e">
        <f t="shared" si="26"/>
        <v>#DIV/0!</v>
      </c>
      <c r="H142" s="28" t="e">
        <f>IF($B142=0,0,G142/POWER(1+'CALCULADORA TIPS E-6'!$F$11,'Flujos Mensuales'!$B142/365))</f>
        <v>#DIV/0!</v>
      </c>
      <c r="I142" s="30">
        <f t="shared" si="23"/>
        <v>42603</v>
      </c>
      <c r="J142" s="25">
        <v>140</v>
      </c>
      <c r="K142" s="12">
        <f t="shared" si="27"/>
        <v>4258</v>
      </c>
      <c r="L142" s="96" t="e">
        <f t="shared" si="28"/>
        <v>#DIV/0!</v>
      </c>
      <c r="M142" s="93" t="e">
        <f t="shared" si="29"/>
        <v>#DIV/0!</v>
      </c>
      <c r="N142" s="93" t="e">
        <f t="shared" si="30"/>
        <v>#DIV/0!</v>
      </c>
      <c r="O142" s="94" t="e">
        <f t="shared" si="31"/>
        <v>#DIV/0!</v>
      </c>
    </row>
    <row r="143" spans="1:15" ht="12.75">
      <c r="A143" s="4">
        <f t="shared" si="22"/>
        <v>42634</v>
      </c>
      <c r="B143" s="9">
        <f>IF(DIAS365('CALCULADORA TIPS E-6'!$E$6,A143)&lt;0,0,DIAS365('CALCULADORA TIPS E-6'!$E$6,A143))</f>
        <v>1855</v>
      </c>
      <c r="C143" s="5">
        <f>+HLOOKUP('CALCULADORA TIPS E-6'!$E$4,Tablas!$B$1:$D$181,'Flujos Mensuales'!J143+1,FALSE)</f>
        <v>0</v>
      </c>
      <c r="D143" s="14" t="e">
        <f t="shared" si="24"/>
        <v>#DIV/0!</v>
      </c>
      <c r="E143" s="15" t="e">
        <f t="shared" si="25"/>
        <v>#DIV/0!</v>
      </c>
      <c r="F143" s="15" t="e">
        <f>ROUND(D142*ROUND(((1+'CALCULADORA TIPS E-6'!$C$14)^(1/12)-1),6),6)</f>
        <v>#DIV/0!</v>
      </c>
      <c r="G143" s="15" t="e">
        <f t="shared" si="26"/>
        <v>#DIV/0!</v>
      </c>
      <c r="H143" s="28" t="e">
        <f>IF($B143=0,0,G143/POWER(1+'CALCULADORA TIPS E-6'!$F$11,'Flujos Mensuales'!$B143/365))</f>
        <v>#DIV/0!</v>
      </c>
      <c r="I143" s="30">
        <f t="shared" si="23"/>
        <v>42634</v>
      </c>
      <c r="J143" s="25">
        <v>141</v>
      </c>
      <c r="K143" s="12">
        <f t="shared" si="27"/>
        <v>4289</v>
      </c>
      <c r="L143" s="96" t="e">
        <f t="shared" si="28"/>
        <v>#DIV/0!</v>
      </c>
      <c r="M143" s="93" t="e">
        <f t="shared" si="29"/>
        <v>#DIV/0!</v>
      </c>
      <c r="N143" s="93" t="e">
        <f t="shared" si="30"/>
        <v>#DIV/0!</v>
      </c>
      <c r="O143" s="94" t="e">
        <f t="shared" si="31"/>
        <v>#DIV/0!</v>
      </c>
    </row>
    <row r="144" spans="1:15" ht="12.75">
      <c r="A144" s="4">
        <f t="shared" si="22"/>
        <v>42664</v>
      </c>
      <c r="B144" s="9">
        <f>IF(DIAS365('CALCULADORA TIPS E-6'!$E$6,A144)&lt;0,0,DIAS365('CALCULADORA TIPS E-6'!$E$6,A144))</f>
        <v>1885</v>
      </c>
      <c r="C144" s="5">
        <f>+HLOOKUP('CALCULADORA TIPS E-6'!$E$4,Tablas!$B$1:$D$181,'Flujos Mensuales'!J144+1,FALSE)</f>
        <v>0</v>
      </c>
      <c r="D144" s="14" t="e">
        <f t="shared" si="24"/>
        <v>#DIV/0!</v>
      </c>
      <c r="E144" s="15" t="e">
        <f t="shared" si="25"/>
        <v>#DIV/0!</v>
      </c>
      <c r="F144" s="15" t="e">
        <f>ROUND(D143*ROUND(((1+'CALCULADORA TIPS E-6'!$C$14)^(1/12)-1),6),6)</f>
        <v>#DIV/0!</v>
      </c>
      <c r="G144" s="15" t="e">
        <f t="shared" si="26"/>
        <v>#DIV/0!</v>
      </c>
      <c r="H144" s="28" t="e">
        <f>IF($B144=0,0,G144/POWER(1+'CALCULADORA TIPS E-6'!$F$11,'Flujos Mensuales'!$B144/365))</f>
        <v>#DIV/0!</v>
      </c>
      <c r="I144" s="30">
        <f t="shared" si="23"/>
        <v>42664</v>
      </c>
      <c r="J144" s="25">
        <v>142</v>
      </c>
      <c r="K144" s="12">
        <f t="shared" si="27"/>
        <v>4319</v>
      </c>
      <c r="L144" s="96" t="e">
        <f t="shared" si="28"/>
        <v>#DIV/0!</v>
      </c>
      <c r="M144" s="93" t="e">
        <f t="shared" si="29"/>
        <v>#DIV/0!</v>
      </c>
      <c r="N144" s="93" t="e">
        <f t="shared" si="30"/>
        <v>#DIV/0!</v>
      </c>
      <c r="O144" s="94" t="e">
        <f t="shared" si="31"/>
        <v>#DIV/0!</v>
      </c>
    </row>
    <row r="145" spans="1:15" ht="12.75">
      <c r="A145" s="4">
        <f t="shared" si="22"/>
        <v>42695</v>
      </c>
      <c r="B145" s="9">
        <f>IF(DIAS365('CALCULADORA TIPS E-6'!$E$6,A145)&lt;0,0,DIAS365('CALCULADORA TIPS E-6'!$E$6,A145))</f>
        <v>1916</v>
      </c>
      <c r="C145" s="5">
        <f>+HLOOKUP('CALCULADORA TIPS E-6'!$E$4,Tablas!$B$1:$D$181,'Flujos Mensuales'!J145+1,FALSE)</f>
        <v>0</v>
      </c>
      <c r="D145" s="14" t="e">
        <f t="shared" si="24"/>
        <v>#DIV/0!</v>
      </c>
      <c r="E145" s="15" t="e">
        <f t="shared" si="25"/>
        <v>#DIV/0!</v>
      </c>
      <c r="F145" s="15" t="e">
        <f>ROUND(D144*ROUND(((1+'CALCULADORA TIPS E-6'!$C$14)^(1/12)-1),6),6)</f>
        <v>#DIV/0!</v>
      </c>
      <c r="G145" s="15" t="e">
        <f t="shared" si="26"/>
        <v>#DIV/0!</v>
      </c>
      <c r="H145" s="28" t="e">
        <f>IF($B145=0,0,G145/POWER(1+'CALCULADORA TIPS E-6'!$F$11,'Flujos Mensuales'!$B145/365))</f>
        <v>#DIV/0!</v>
      </c>
      <c r="I145" s="30">
        <f t="shared" si="23"/>
        <v>42695</v>
      </c>
      <c r="J145" s="25">
        <v>143</v>
      </c>
      <c r="K145" s="12">
        <f t="shared" si="27"/>
        <v>4350</v>
      </c>
      <c r="L145" s="96" t="e">
        <f t="shared" si="28"/>
        <v>#DIV/0!</v>
      </c>
      <c r="M145" s="93" t="e">
        <f t="shared" si="29"/>
        <v>#DIV/0!</v>
      </c>
      <c r="N145" s="93" t="e">
        <f t="shared" si="30"/>
        <v>#DIV/0!</v>
      </c>
      <c r="O145" s="94" t="e">
        <f t="shared" si="31"/>
        <v>#DIV/0!</v>
      </c>
    </row>
    <row r="146" spans="1:15" ht="12.75">
      <c r="A146" s="4">
        <f t="shared" si="22"/>
        <v>42725</v>
      </c>
      <c r="B146" s="9">
        <f>IF(DIAS365('CALCULADORA TIPS E-6'!$E$6,A146)&lt;0,0,DIAS365('CALCULADORA TIPS E-6'!$E$6,A146))</f>
        <v>1946</v>
      </c>
      <c r="C146" s="5">
        <f>+HLOOKUP('CALCULADORA TIPS E-6'!$E$4,Tablas!$B$1:$D$181,'Flujos Mensuales'!J146+1,FALSE)</f>
        <v>0</v>
      </c>
      <c r="D146" s="14" t="e">
        <f t="shared" si="24"/>
        <v>#DIV/0!</v>
      </c>
      <c r="E146" s="15" t="e">
        <f t="shared" si="25"/>
        <v>#DIV/0!</v>
      </c>
      <c r="F146" s="15" t="e">
        <f>ROUND(D145*ROUND(((1+'CALCULADORA TIPS E-6'!$C$14)^(1/12)-1),6),6)</f>
        <v>#DIV/0!</v>
      </c>
      <c r="G146" s="15" t="e">
        <f t="shared" si="26"/>
        <v>#DIV/0!</v>
      </c>
      <c r="H146" s="28" t="e">
        <f>IF($B146=0,0,G146/POWER(1+'CALCULADORA TIPS E-6'!$F$11,'Flujos Mensuales'!$B146/365))</f>
        <v>#DIV/0!</v>
      </c>
      <c r="I146" s="30">
        <f t="shared" si="23"/>
        <v>42725</v>
      </c>
      <c r="J146" s="25">
        <v>144</v>
      </c>
      <c r="K146" s="12">
        <f t="shared" si="27"/>
        <v>4380</v>
      </c>
      <c r="L146" s="96" t="e">
        <f t="shared" si="28"/>
        <v>#DIV/0!</v>
      </c>
      <c r="M146" s="93" t="e">
        <f t="shared" si="29"/>
        <v>#DIV/0!</v>
      </c>
      <c r="N146" s="93" t="e">
        <f t="shared" si="30"/>
        <v>#DIV/0!</v>
      </c>
      <c r="O146" s="94" t="e">
        <f t="shared" si="31"/>
        <v>#DIV/0!</v>
      </c>
    </row>
    <row r="147" spans="1:15" ht="12.75">
      <c r="A147" s="4">
        <f t="shared" si="22"/>
        <v>42756</v>
      </c>
      <c r="B147" s="9">
        <f>IF(DIAS365('CALCULADORA TIPS E-6'!$E$6,A147)&lt;0,0,DIAS365('CALCULADORA TIPS E-6'!$E$6,A147))</f>
        <v>1977</v>
      </c>
      <c r="C147" s="5">
        <f>+HLOOKUP('CALCULADORA TIPS E-6'!$E$4,Tablas!$B$1:$D$181,'Flujos Mensuales'!J147+1,FALSE)</f>
        <v>0</v>
      </c>
      <c r="D147" s="14" t="e">
        <f t="shared" si="24"/>
        <v>#DIV/0!</v>
      </c>
      <c r="E147" s="15" t="e">
        <f t="shared" si="25"/>
        <v>#DIV/0!</v>
      </c>
      <c r="F147" s="15" t="e">
        <f>ROUND(D146*ROUND(((1+'CALCULADORA TIPS E-6'!$C$14)^(1/12)-1),6),6)</f>
        <v>#DIV/0!</v>
      </c>
      <c r="G147" s="15" t="e">
        <f t="shared" si="26"/>
        <v>#DIV/0!</v>
      </c>
      <c r="H147" s="28" t="e">
        <f>IF($B147=0,0,G147/POWER(1+'CALCULADORA TIPS E-6'!$F$11,'Flujos Mensuales'!$B147/365))</f>
        <v>#DIV/0!</v>
      </c>
      <c r="I147" s="30">
        <f t="shared" si="23"/>
        <v>42756</v>
      </c>
      <c r="J147" s="25">
        <v>145</v>
      </c>
      <c r="K147" s="12">
        <f t="shared" si="27"/>
        <v>4411</v>
      </c>
      <c r="L147" s="96" t="e">
        <f t="shared" si="28"/>
        <v>#DIV/0!</v>
      </c>
      <c r="M147" s="93" t="e">
        <f t="shared" si="29"/>
        <v>#DIV/0!</v>
      </c>
      <c r="N147" s="93" t="e">
        <f t="shared" si="30"/>
        <v>#DIV/0!</v>
      </c>
      <c r="O147" s="94" t="e">
        <f t="shared" si="31"/>
        <v>#DIV/0!</v>
      </c>
    </row>
    <row r="148" spans="1:15" ht="12.75">
      <c r="A148" s="4">
        <f t="shared" si="22"/>
        <v>42787</v>
      </c>
      <c r="B148" s="9">
        <f>IF(DIAS365('CALCULADORA TIPS E-6'!$E$6,A148)&lt;0,0,DIAS365('CALCULADORA TIPS E-6'!$E$6,A148))</f>
        <v>2008</v>
      </c>
      <c r="C148" s="5">
        <f>+HLOOKUP('CALCULADORA TIPS E-6'!$E$4,Tablas!$B$1:$D$181,'Flujos Mensuales'!J148+1,FALSE)</f>
        <v>0</v>
      </c>
      <c r="D148" s="14" t="e">
        <f t="shared" si="24"/>
        <v>#DIV/0!</v>
      </c>
      <c r="E148" s="15" t="e">
        <f t="shared" si="25"/>
        <v>#DIV/0!</v>
      </c>
      <c r="F148" s="15" t="e">
        <f>ROUND(D147*ROUND(((1+'CALCULADORA TIPS E-6'!$C$14)^(1/12)-1),6),6)</f>
        <v>#DIV/0!</v>
      </c>
      <c r="G148" s="15" t="e">
        <f t="shared" si="26"/>
        <v>#DIV/0!</v>
      </c>
      <c r="H148" s="28" t="e">
        <f>IF($B148=0,0,G148/POWER(1+'CALCULADORA TIPS E-6'!$F$11,'Flujos Mensuales'!$B148/365))</f>
        <v>#DIV/0!</v>
      </c>
      <c r="I148" s="30">
        <f t="shared" si="23"/>
        <v>42787</v>
      </c>
      <c r="J148" s="25">
        <v>146</v>
      </c>
      <c r="K148" s="12">
        <f t="shared" si="27"/>
        <v>4442</v>
      </c>
      <c r="L148" s="96" t="e">
        <f t="shared" si="28"/>
        <v>#DIV/0!</v>
      </c>
      <c r="M148" s="93" t="e">
        <f t="shared" si="29"/>
        <v>#DIV/0!</v>
      </c>
      <c r="N148" s="93" t="e">
        <f t="shared" si="30"/>
        <v>#DIV/0!</v>
      </c>
      <c r="O148" s="94" t="e">
        <f t="shared" si="31"/>
        <v>#DIV/0!</v>
      </c>
    </row>
    <row r="149" spans="1:15" ht="12.75">
      <c r="A149" s="4">
        <f t="shared" si="22"/>
        <v>42815</v>
      </c>
      <c r="B149" s="9">
        <f>IF(DIAS365('CALCULADORA TIPS E-6'!$E$6,A149)&lt;0,0,DIAS365('CALCULADORA TIPS E-6'!$E$6,A149))</f>
        <v>2036</v>
      </c>
      <c r="C149" s="5">
        <f>+HLOOKUP('CALCULADORA TIPS E-6'!$E$4,Tablas!$B$1:$D$181,'Flujos Mensuales'!J149+1,FALSE)</f>
        <v>0</v>
      </c>
      <c r="D149" s="14" t="e">
        <f t="shared" si="24"/>
        <v>#DIV/0!</v>
      </c>
      <c r="E149" s="15" t="e">
        <f t="shared" si="25"/>
        <v>#DIV/0!</v>
      </c>
      <c r="F149" s="15" t="e">
        <f>ROUND(D148*ROUND(((1+'CALCULADORA TIPS E-6'!$C$14)^(1/12)-1),6),6)</f>
        <v>#DIV/0!</v>
      </c>
      <c r="G149" s="15" t="e">
        <f t="shared" si="26"/>
        <v>#DIV/0!</v>
      </c>
      <c r="H149" s="28" t="e">
        <f>IF($B149=0,0,G149/POWER(1+'CALCULADORA TIPS E-6'!$F$11,'Flujos Mensuales'!$B149/365))</f>
        <v>#DIV/0!</v>
      </c>
      <c r="I149" s="30">
        <f t="shared" si="23"/>
        <v>42815</v>
      </c>
      <c r="J149" s="25">
        <v>147</v>
      </c>
      <c r="K149" s="12">
        <f t="shared" si="27"/>
        <v>4470</v>
      </c>
      <c r="L149" s="96" t="e">
        <f t="shared" si="28"/>
        <v>#DIV/0!</v>
      </c>
      <c r="M149" s="93" t="e">
        <f t="shared" si="29"/>
        <v>#DIV/0!</v>
      </c>
      <c r="N149" s="93" t="e">
        <f t="shared" si="30"/>
        <v>#DIV/0!</v>
      </c>
      <c r="O149" s="94" t="e">
        <f t="shared" si="31"/>
        <v>#DIV/0!</v>
      </c>
    </row>
    <row r="150" spans="1:15" ht="12.75">
      <c r="A150" s="4">
        <f t="shared" si="22"/>
        <v>42846</v>
      </c>
      <c r="B150" s="9">
        <f>IF(DIAS365('CALCULADORA TIPS E-6'!$E$6,A150)&lt;0,0,DIAS365('CALCULADORA TIPS E-6'!$E$6,A150))</f>
        <v>2067</v>
      </c>
      <c r="C150" s="5">
        <f>+HLOOKUP('CALCULADORA TIPS E-6'!$E$4,Tablas!$B$1:$D$181,'Flujos Mensuales'!J150+1,FALSE)</f>
        <v>0</v>
      </c>
      <c r="D150" s="14" t="e">
        <f t="shared" si="24"/>
        <v>#DIV/0!</v>
      </c>
      <c r="E150" s="15" t="e">
        <f t="shared" si="25"/>
        <v>#DIV/0!</v>
      </c>
      <c r="F150" s="15" t="e">
        <f>ROUND(D149*ROUND(((1+'CALCULADORA TIPS E-6'!$C$14)^(1/12)-1),6),6)</f>
        <v>#DIV/0!</v>
      </c>
      <c r="G150" s="15" t="e">
        <f t="shared" si="26"/>
        <v>#DIV/0!</v>
      </c>
      <c r="H150" s="28" t="e">
        <f>IF($B150=0,0,G150/POWER(1+'CALCULADORA TIPS E-6'!$F$11,'Flujos Mensuales'!$B150/365))</f>
        <v>#DIV/0!</v>
      </c>
      <c r="I150" s="30">
        <f t="shared" si="23"/>
        <v>42846</v>
      </c>
      <c r="J150" s="25">
        <v>148</v>
      </c>
      <c r="K150" s="12">
        <f t="shared" si="27"/>
        <v>4501</v>
      </c>
      <c r="L150" s="96" t="e">
        <f t="shared" si="28"/>
        <v>#DIV/0!</v>
      </c>
      <c r="M150" s="93" t="e">
        <f t="shared" si="29"/>
        <v>#DIV/0!</v>
      </c>
      <c r="N150" s="93" t="e">
        <f t="shared" si="30"/>
        <v>#DIV/0!</v>
      </c>
      <c r="O150" s="94" t="e">
        <f t="shared" si="31"/>
        <v>#DIV/0!</v>
      </c>
    </row>
    <row r="151" spans="1:15" ht="12.75">
      <c r="A151" s="4">
        <f t="shared" si="22"/>
        <v>42876</v>
      </c>
      <c r="B151" s="9">
        <f>IF(DIAS365('CALCULADORA TIPS E-6'!$E$6,A151)&lt;0,0,DIAS365('CALCULADORA TIPS E-6'!$E$6,A151))</f>
        <v>2097</v>
      </c>
      <c r="C151" s="5">
        <f>+HLOOKUP('CALCULADORA TIPS E-6'!$E$4,Tablas!$B$1:$D$181,'Flujos Mensuales'!J151+1,FALSE)</f>
        <v>0</v>
      </c>
      <c r="D151" s="14" t="e">
        <f t="shared" si="24"/>
        <v>#DIV/0!</v>
      </c>
      <c r="E151" s="15" t="e">
        <f t="shared" si="25"/>
        <v>#DIV/0!</v>
      </c>
      <c r="F151" s="15" t="e">
        <f>ROUND(D150*ROUND(((1+'CALCULADORA TIPS E-6'!$C$14)^(1/12)-1),6),6)</f>
        <v>#DIV/0!</v>
      </c>
      <c r="G151" s="15" t="e">
        <f t="shared" si="26"/>
        <v>#DIV/0!</v>
      </c>
      <c r="H151" s="28" t="e">
        <f>IF($B151=0,0,G151/POWER(1+'CALCULADORA TIPS E-6'!$F$11,'Flujos Mensuales'!$B151/365))</f>
        <v>#DIV/0!</v>
      </c>
      <c r="I151" s="30">
        <f t="shared" si="23"/>
        <v>42876</v>
      </c>
      <c r="J151" s="25">
        <v>149</v>
      </c>
      <c r="K151" s="12">
        <f t="shared" si="27"/>
        <v>4531</v>
      </c>
      <c r="L151" s="96" t="e">
        <f t="shared" si="28"/>
        <v>#DIV/0!</v>
      </c>
      <c r="M151" s="93" t="e">
        <f t="shared" si="29"/>
        <v>#DIV/0!</v>
      </c>
      <c r="N151" s="93" t="e">
        <f t="shared" si="30"/>
        <v>#DIV/0!</v>
      </c>
      <c r="O151" s="94" t="e">
        <f t="shared" si="31"/>
        <v>#DIV/0!</v>
      </c>
    </row>
    <row r="152" spans="1:15" ht="12.75">
      <c r="A152" s="4">
        <f t="shared" si="22"/>
        <v>42907</v>
      </c>
      <c r="B152" s="9">
        <f>IF(DIAS365('CALCULADORA TIPS E-6'!$E$6,A152)&lt;0,0,DIAS365('CALCULADORA TIPS E-6'!$E$6,A152))</f>
        <v>2128</v>
      </c>
      <c r="C152" s="5">
        <f>+HLOOKUP('CALCULADORA TIPS E-6'!$E$4,Tablas!$B$1:$D$181,'Flujos Mensuales'!J152+1,FALSE)</f>
        <v>0</v>
      </c>
      <c r="D152" s="14" t="e">
        <f t="shared" si="24"/>
        <v>#DIV/0!</v>
      </c>
      <c r="E152" s="15" t="e">
        <f t="shared" si="25"/>
        <v>#DIV/0!</v>
      </c>
      <c r="F152" s="15" t="e">
        <f>ROUND(D151*ROUND(((1+'CALCULADORA TIPS E-6'!$C$14)^(1/12)-1),6),6)</f>
        <v>#DIV/0!</v>
      </c>
      <c r="G152" s="15" t="e">
        <f t="shared" si="26"/>
        <v>#DIV/0!</v>
      </c>
      <c r="H152" s="28" t="e">
        <f>IF($B152=0,0,G152/POWER(1+'CALCULADORA TIPS E-6'!$F$11,'Flujos Mensuales'!$B152/365))</f>
        <v>#DIV/0!</v>
      </c>
      <c r="I152" s="30">
        <f t="shared" si="23"/>
        <v>42907</v>
      </c>
      <c r="J152" s="25">
        <v>150</v>
      </c>
      <c r="K152" s="12">
        <f t="shared" si="27"/>
        <v>4562</v>
      </c>
      <c r="L152" s="96" t="e">
        <f t="shared" si="28"/>
        <v>#DIV/0!</v>
      </c>
      <c r="M152" s="93" t="e">
        <f t="shared" si="29"/>
        <v>#DIV/0!</v>
      </c>
      <c r="N152" s="93" t="e">
        <f t="shared" si="30"/>
        <v>#DIV/0!</v>
      </c>
      <c r="O152" s="94" t="e">
        <f t="shared" si="31"/>
        <v>#DIV/0!</v>
      </c>
    </row>
    <row r="153" spans="1:15" ht="12.75">
      <c r="A153" s="4">
        <f t="shared" si="22"/>
        <v>42937</v>
      </c>
      <c r="B153" s="9">
        <f>IF(DIAS365('CALCULADORA TIPS E-6'!$E$6,A153)&lt;0,0,DIAS365('CALCULADORA TIPS E-6'!$E$6,A153))</f>
        <v>2158</v>
      </c>
      <c r="C153" s="5">
        <f>+HLOOKUP('CALCULADORA TIPS E-6'!$E$4,Tablas!$B$1:$D$181,'Flujos Mensuales'!J153+1,FALSE)</f>
        <v>0</v>
      </c>
      <c r="D153" s="14" t="e">
        <f t="shared" si="24"/>
        <v>#DIV/0!</v>
      </c>
      <c r="E153" s="15" t="e">
        <f t="shared" si="25"/>
        <v>#DIV/0!</v>
      </c>
      <c r="F153" s="15" t="e">
        <f>ROUND(D152*ROUND(((1+'CALCULADORA TIPS E-6'!$C$14)^(1/12)-1),6),6)</f>
        <v>#DIV/0!</v>
      </c>
      <c r="G153" s="15" t="e">
        <f t="shared" si="26"/>
        <v>#DIV/0!</v>
      </c>
      <c r="H153" s="28" t="e">
        <f>IF($B153=0,0,G153/POWER(1+'CALCULADORA TIPS E-6'!$F$11,'Flujos Mensuales'!$B153/365))</f>
        <v>#DIV/0!</v>
      </c>
      <c r="I153" s="30">
        <f t="shared" si="23"/>
        <v>42937</v>
      </c>
      <c r="J153" s="25">
        <v>151</v>
      </c>
      <c r="K153" s="12">
        <f t="shared" si="27"/>
        <v>4592</v>
      </c>
      <c r="L153" s="96" t="e">
        <f t="shared" si="28"/>
        <v>#DIV/0!</v>
      </c>
      <c r="M153" s="93" t="e">
        <f t="shared" si="29"/>
        <v>#DIV/0!</v>
      </c>
      <c r="N153" s="93" t="e">
        <f t="shared" si="30"/>
        <v>#DIV/0!</v>
      </c>
      <c r="O153" s="94" t="e">
        <f t="shared" si="31"/>
        <v>#DIV/0!</v>
      </c>
    </row>
    <row r="154" spans="1:15" ht="12.75">
      <c r="A154" s="4">
        <f t="shared" si="22"/>
        <v>42968</v>
      </c>
      <c r="B154" s="9">
        <f>IF(DIAS365('CALCULADORA TIPS E-6'!$E$6,A154)&lt;0,0,DIAS365('CALCULADORA TIPS E-6'!$E$6,A154))</f>
        <v>2189</v>
      </c>
      <c r="C154" s="5">
        <f>+HLOOKUP('CALCULADORA TIPS E-6'!$E$4,Tablas!$B$1:$D$181,'Flujos Mensuales'!J154+1,FALSE)</f>
        <v>0</v>
      </c>
      <c r="D154" s="14" t="e">
        <f t="shared" si="24"/>
        <v>#DIV/0!</v>
      </c>
      <c r="E154" s="15" t="e">
        <f t="shared" si="25"/>
        <v>#DIV/0!</v>
      </c>
      <c r="F154" s="15" t="e">
        <f>ROUND(D153*ROUND(((1+'CALCULADORA TIPS E-6'!$C$14)^(1/12)-1),6),6)</f>
        <v>#DIV/0!</v>
      </c>
      <c r="G154" s="15" t="e">
        <f t="shared" si="26"/>
        <v>#DIV/0!</v>
      </c>
      <c r="H154" s="28" t="e">
        <f>IF($B154=0,0,G154/POWER(1+'CALCULADORA TIPS E-6'!$F$11,'Flujos Mensuales'!$B154/365))</f>
        <v>#DIV/0!</v>
      </c>
      <c r="I154" s="30">
        <f t="shared" si="23"/>
        <v>42968</v>
      </c>
      <c r="J154" s="25">
        <v>152</v>
      </c>
      <c r="K154" s="12">
        <f t="shared" si="27"/>
        <v>4623</v>
      </c>
      <c r="L154" s="96" t="e">
        <f t="shared" si="28"/>
        <v>#DIV/0!</v>
      </c>
      <c r="M154" s="93" t="e">
        <f t="shared" si="29"/>
        <v>#DIV/0!</v>
      </c>
      <c r="N154" s="93" t="e">
        <f t="shared" si="30"/>
        <v>#DIV/0!</v>
      </c>
      <c r="O154" s="94" t="e">
        <f t="shared" si="31"/>
        <v>#DIV/0!</v>
      </c>
    </row>
    <row r="155" spans="1:15" ht="12.75">
      <c r="A155" s="4">
        <f t="shared" si="22"/>
        <v>42999</v>
      </c>
      <c r="B155" s="9">
        <f>IF(DIAS365('CALCULADORA TIPS E-6'!$E$6,A155)&lt;0,0,DIAS365('CALCULADORA TIPS E-6'!$E$6,A155))</f>
        <v>2220</v>
      </c>
      <c r="C155" s="5">
        <f>+HLOOKUP('CALCULADORA TIPS E-6'!$E$4,Tablas!$B$1:$D$181,'Flujos Mensuales'!J155+1,FALSE)</f>
        <v>0</v>
      </c>
      <c r="D155" s="14" t="e">
        <f t="shared" si="24"/>
        <v>#DIV/0!</v>
      </c>
      <c r="E155" s="15" t="e">
        <f t="shared" si="25"/>
        <v>#DIV/0!</v>
      </c>
      <c r="F155" s="15" t="e">
        <f>ROUND(D154*ROUND(((1+'CALCULADORA TIPS E-6'!$C$14)^(1/12)-1),6),6)</f>
        <v>#DIV/0!</v>
      </c>
      <c r="G155" s="15" t="e">
        <f t="shared" si="26"/>
        <v>#DIV/0!</v>
      </c>
      <c r="H155" s="28" t="e">
        <f>IF($B155=0,0,G155/POWER(1+'CALCULADORA TIPS E-6'!$F$11,'Flujos Mensuales'!$B155/365))</f>
        <v>#DIV/0!</v>
      </c>
      <c r="I155" s="30">
        <f t="shared" si="23"/>
        <v>42999</v>
      </c>
      <c r="J155" s="25">
        <v>153</v>
      </c>
      <c r="K155" s="12">
        <f t="shared" si="27"/>
        <v>4654</v>
      </c>
      <c r="L155" s="96" t="e">
        <f t="shared" si="28"/>
        <v>#DIV/0!</v>
      </c>
      <c r="M155" s="93" t="e">
        <f t="shared" si="29"/>
        <v>#DIV/0!</v>
      </c>
      <c r="N155" s="93" t="e">
        <f t="shared" si="30"/>
        <v>#DIV/0!</v>
      </c>
      <c r="O155" s="94" t="e">
        <f t="shared" si="31"/>
        <v>#DIV/0!</v>
      </c>
    </row>
    <row r="156" spans="1:15" ht="12.75">
      <c r="A156" s="4">
        <f t="shared" si="22"/>
        <v>43029</v>
      </c>
      <c r="B156" s="9">
        <f>IF(DIAS365('CALCULADORA TIPS E-6'!$E$6,A156)&lt;0,0,DIAS365('CALCULADORA TIPS E-6'!$E$6,A156))</f>
        <v>2250</v>
      </c>
      <c r="C156" s="5">
        <f>+HLOOKUP('CALCULADORA TIPS E-6'!$E$4,Tablas!$B$1:$D$181,'Flujos Mensuales'!J156+1,FALSE)</f>
        <v>0</v>
      </c>
      <c r="D156" s="14" t="e">
        <f t="shared" si="24"/>
        <v>#DIV/0!</v>
      </c>
      <c r="E156" s="15" t="e">
        <f t="shared" si="25"/>
        <v>#DIV/0!</v>
      </c>
      <c r="F156" s="15" t="e">
        <f>ROUND(D155*ROUND(((1+'CALCULADORA TIPS E-6'!$C$14)^(1/12)-1),6),6)</f>
        <v>#DIV/0!</v>
      </c>
      <c r="G156" s="15" t="e">
        <f t="shared" si="26"/>
        <v>#DIV/0!</v>
      </c>
      <c r="H156" s="28" t="e">
        <f>IF($B156=0,0,G156/POWER(1+'CALCULADORA TIPS E-6'!$F$11,'Flujos Mensuales'!$B156/365))</f>
        <v>#DIV/0!</v>
      </c>
      <c r="I156" s="30">
        <f t="shared" si="23"/>
        <v>43029</v>
      </c>
      <c r="J156" s="25">
        <v>154</v>
      </c>
      <c r="K156" s="12">
        <f t="shared" si="27"/>
        <v>4684</v>
      </c>
      <c r="L156" s="96" t="e">
        <f t="shared" si="28"/>
        <v>#DIV/0!</v>
      </c>
      <c r="M156" s="93" t="e">
        <f t="shared" si="29"/>
        <v>#DIV/0!</v>
      </c>
      <c r="N156" s="93" t="e">
        <f t="shared" si="30"/>
        <v>#DIV/0!</v>
      </c>
      <c r="O156" s="94" t="e">
        <f t="shared" si="31"/>
        <v>#DIV/0!</v>
      </c>
    </row>
    <row r="157" spans="1:15" ht="12.75">
      <c r="A157" s="4">
        <f t="shared" si="22"/>
        <v>43060</v>
      </c>
      <c r="B157" s="9">
        <f>IF(DIAS365('CALCULADORA TIPS E-6'!$E$6,A157)&lt;0,0,DIAS365('CALCULADORA TIPS E-6'!$E$6,A157))</f>
        <v>2281</v>
      </c>
      <c r="C157" s="5">
        <f>+HLOOKUP('CALCULADORA TIPS E-6'!$E$4,Tablas!$B$1:$D$181,'Flujos Mensuales'!J157+1,FALSE)</f>
        <v>0</v>
      </c>
      <c r="D157" s="14" t="e">
        <f t="shared" si="24"/>
        <v>#DIV/0!</v>
      </c>
      <c r="E157" s="15" t="e">
        <f t="shared" si="25"/>
        <v>#DIV/0!</v>
      </c>
      <c r="F157" s="15" t="e">
        <f>ROUND(D156*ROUND(((1+'CALCULADORA TIPS E-6'!$C$14)^(1/12)-1),6),6)</f>
        <v>#DIV/0!</v>
      </c>
      <c r="G157" s="15" t="e">
        <f t="shared" si="26"/>
        <v>#DIV/0!</v>
      </c>
      <c r="H157" s="28" t="e">
        <f>IF($B157=0,0,G157/POWER(1+'CALCULADORA TIPS E-6'!$F$11,'Flujos Mensuales'!$B157/365))</f>
        <v>#DIV/0!</v>
      </c>
      <c r="I157" s="30">
        <f t="shared" si="23"/>
        <v>43060</v>
      </c>
      <c r="J157" s="25">
        <v>155</v>
      </c>
      <c r="K157" s="12">
        <f t="shared" si="27"/>
        <v>4715</v>
      </c>
      <c r="L157" s="96" t="e">
        <f t="shared" si="28"/>
        <v>#DIV/0!</v>
      </c>
      <c r="M157" s="93" t="e">
        <f t="shared" si="29"/>
        <v>#DIV/0!</v>
      </c>
      <c r="N157" s="93" t="e">
        <f t="shared" si="30"/>
        <v>#DIV/0!</v>
      </c>
      <c r="O157" s="94" t="e">
        <f t="shared" si="31"/>
        <v>#DIV/0!</v>
      </c>
    </row>
    <row r="158" spans="1:15" ht="12.75">
      <c r="A158" s="4">
        <f t="shared" si="22"/>
        <v>43090</v>
      </c>
      <c r="B158" s="9">
        <f>IF(DIAS365('CALCULADORA TIPS E-6'!$E$6,A158)&lt;0,0,DIAS365('CALCULADORA TIPS E-6'!$E$6,A158))</f>
        <v>2311</v>
      </c>
      <c r="C158" s="5">
        <f>+HLOOKUP('CALCULADORA TIPS E-6'!$E$4,Tablas!$B$1:$D$181,'Flujos Mensuales'!J158+1,FALSE)</f>
        <v>0</v>
      </c>
      <c r="D158" s="14" t="e">
        <f t="shared" si="24"/>
        <v>#DIV/0!</v>
      </c>
      <c r="E158" s="15" t="e">
        <f t="shared" si="25"/>
        <v>#DIV/0!</v>
      </c>
      <c r="F158" s="15" t="e">
        <f>ROUND(D157*ROUND(((1+'CALCULADORA TIPS E-6'!$C$14)^(1/12)-1),6),6)</f>
        <v>#DIV/0!</v>
      </c>
      <c r="G158" s="15" t="e">
        <f t="shared" si="26"/>
        <v>#DIV/0!</v>
      </c>
      <c r="H158" s="28" t="e">
        <f>IF($B158=0,0,G158/POWER(1+'CALCULADORA TIPS E-6'!$F$11,'Flujos Mensuales'!$B158/365))</f>
        <v>#DIV/0!</v>
      </c>
      <c r="I158" s="30">
        <f t="shared" si="23"/>
        <v>43090</v>
      </c>
      <c r="J158" s="25">
        <v>156</v>
      </c>
      <c r="K158" s="12">
        <f t="shared" si="27"/>
        <v>4745</v>
      </c>
      <c r="L158" s="96" t="e">
        <f t="shared" si="28"/>
        <v>#DIV/0!</v>
      </c>
      <c r="M158" s="93" t="e">
        <f t="shared" si="29"/>
        <v>#DIV/0!</v>
      </c>
      <c r="N158" s="93" t="e">
        <f t="shared" si="30"/>
        <v>#DIV/0!</v>
      </c>
      <c r="O158" s="94" t="e">
        <f t="shared" si="31"/>
        <v>#DIV/0!</v>
      </c>
    </row>
    <row r="159" spans="1:15" ht="12.75">
      <c r="A159" s="4">
        <f t="shared" si="22"/>
        <v>43121</v>
      </c>
      <c r="B159" s="9">
        <f>IF(DIAS365('CALCULADORA TIPS E-6'!$E$6,A159)&lt;0,0,DIAS365('CALCULADORA TIPS E-6'!$E$6,A159))</f>
        <v>2342</v>
      </c>
      <c r="C159" s="5">
        <f>+HLOOKUP('CALCULADORA TIPS E-6'!$E$4,Tablas!$B$1:$D$181,'Flujos Mensuales'!J159+1,FALSE)</f>
        <v>0</v>
      </c>
      <c r="D159" s="14" t="e">
        <f t="shared" si="24"/>
        <v>#DIV/0!</v>
      </c>
      <c r="E159" s="15" t="e">
        <f t="shared" si="25"/>
        <v>#DIV/0!</v>
      </c>
      <c r="F159" s="15" t="e">
        <f>ROUND(D158*ROUND(((1+'CALCULADORA TIPS E-6'!$C$14)^(1/12)-1),6),6)</f>
        <v>#DIV/0!</v>
      </c>
      <c r="G159" s="15" t="e">
        <f t="shared" si="26"/>
        <v>#DIV/0!</v>
      </c>
      <c r="H159" s="28" t="e">
        <f>IF($B159=0,0,G159/POWER(1+'CALCULADORA TIPS E-6'!$F$11,'Flujos Mensuales'!$B159/365))</f>
        <v>#DIV/0!</v>
      </c>
      <c r="I159" s="30">
        <f t="shared" si="23"/>
        <v>43121</v>
      </c>
      <c r="J159" s="25">
        <v>157</v>
      </c>
      <c r="K159" s="12">
        <f t="shared" si="27"/>
        <v>4776</v>
      </c>
      <c r="L159" s="96" t="e">
        <f t="shared" si="28"/>
        <v>#DIV/0!</v>
      </c>
      <c r="M159" s="93" t="e">
        <f t="shared" si="29"/>
        <v>#DIV/0!</v>
      </c>
      <c r="N159" s="93" t="e">
        <f t="shared" si="30"/>
        <v>#DIV/0!</v>
      </c>
      <c r="O159" s="94" t="e">
        <f t="shared" si="31"/>
        <v>#DIV/0!</v>
      </c>
    </row>
    <row r="160" spans="1:15" ht="12.75">
      <c r="A160" s="4">
        <f t="shared" si="22"/>
        <v>43152</v>
      </c>
      <c r="B160" s="9">
        <f>IF(DIAS365('CALCULADORA TIPS E-6'!$E$6,A160)&lt;0,0,DIAS365('CALCULADORA TIPS E-6'!$E$6,A160))</f>
        <v>2373</v>
      </c>
      <c r="C160" s="5">
        <f>+HLOOKUP('CALCULADORA TIPS E-6'!$E$4,Tablas!$B$1:$D$181,'Flujos Mensuales'!J160+1,FALSE)</f>
        <v>0</v>
      </c>
      <c r="D160" s="14" t="e">
        <f t="shared" si="24"/>
        <v>#DIV/0!</v>
      </c>
      <c r="E160" s="15" t="e">
        <f t="shared" si="25"/>
        <v>#DIV/0!</v>
      </c>
      <c r="F160" s="15" t="e">
        <f>ROUND(D159*ROUND(((1+'CALCULADORA TIPS E-6'!$C$14)^(1/12)-1),6),6)</f>
        <v>#DIV/0!</v>
      </c>
      <c r="G160" s="15" t="e">
        <f t="shared" si="26"/>
        <v>#DIV/0!</v>
      </c>
      <c r="H160" s="28" t="e">
        <f>IF($B160=0,0,G160/POWER(1+'CALCULADORA TIPS E-6'!$F$11,'Flujos Mensuales'!$B160/365))</f>
        <v>#DIV/0!</v>
      </c>
      <c r="I160" s="30">
        <f t="shared" si="23"/>
        <v>43152</v>
      </c>
      <c r="J160" s="25">
        <v>158</v>
      </c>
      <c r="K160" s="12">
        <f t="shared" si="27"/>
        <v>4807</v>
      </c>
      <c r="L160" s="96" t="e">
        <f t="shared" si="28"/>
        <v>#DIV/0!</v>
      </c>
      <c r="M160" s="93" t="e">
        <f t="shared" si="29"/>
        <v>#DIV/0!</v>
      </c>
      <c r="N160" s="93" t="e">
        <f t="shared" si="30"/>
        <v>#DIV/0!</v>
      </c>
      <c r="O160" s="94" t="e">
        <f t="shared" si="31"/>
        <v>#DIV/0!</v>
      </c>
    </row>
    <row r="161" spans="1:15" ht="12.75">
      <c r="A161" s="4">
        <f t="shared" si="22"/>
        <v>43180</v>
      </c>
      <c r="B161" s="9">
        <f>IF(DIAS365('CALCULADORA TIPS E-6'!$E$6,A161)&lt;0,0,DIAS365('CALCULADORA TIPS E-6'!$E$6,A161))</f>
        <v>2401</v>
      </c>
      <c r="C161" s="5">
        <f>+HLOOKUP('CALCULADORA TIPS E-6'!$E$4,Tablas!$B$1:$D$181,'Flujos Mensuales'!J161+1,FALSE)</f>
        <v>0</v>
      </c>
      <c r="D161" s="14" t="e">
        <f t="shared" si="24"/>
        <v>#DIV/0!</v>
      </c>
      <c r="E161" s="15" t="e">
        <f t="shared" si="25"/>
        <v>#DIV/0!</v>
      </c>
      <c r="F161" s="15" t="e">
        <f>ROUND(D160*ROUND(((1+'CALCULADORA TIPS E-6'!$C$14)^(1/12)-1),6),6)</f>
        <v>#DIV/0!</v>
      </c>
      <c r="G161" s="15" t="e">
        <f t="shared" si="26"/>
        <v>#DIV/0!</v>
      </c>
      <c r="H161" s="28" t="e">
        <f>IF($B161=0,0,G161/POWER(1+'CALCULADORA TIPS E-6'!$F$11,'Flujos Mensuales'!$B161/365))</f>
        <v>#DIV/0!</v>
      </c>
      <c r="I161" s="30">
        <f t="shared" si="23"/>
        <v>43180</v>
      </c>
      <c r="J161" s="25">
        <v>159</v>
      </c>
      <c r="K161" s="12">
        <f t="shared" si="27"/>
        <v>4835</v>
      </c>
      <c r="L161" s="96" t="e">
        <f t="shared" si="28"/>
        <v>#DIV/0!</v>
      </c>
      <c r="M161" s="93" t="e">
        <f t="shared" si="29"/>
        <v>#DIV/0!</v>
      </c>
      <c r="N161" s="93" t="e">
        <f t="shared" si="30"/>
        <v>#DIV/0!</v>
      </c>
      <c r="O161" s="94" t="e">
        <f t="shared" si="31"/>
        <v>#DIV/0!</v>
      </c>
    </row>
    <row r="162" spans="1:15" ht="12.75">
      <c r="A162" s="4">
        <f t="shared" si="22"/>
        <v>43211</v>
      </c>
      <c r="B162" s="9">
        <f>IF(DIAS365('CALCULADORA TIPS E-6'!$E$6,A162)&lt;0,0,DIAS365('CALCULADORA TIPS E-6'!$E$6,A162))</f>
        <v>2432</v>
      </c>
      <c r="C162" s="5">
        <f>+HLOOKUP('CALCULADORA TIPS E-6'!$E$4,Tablas!$B$1:$D$181,'Flujos Mensuales'!J162+1,FALSE)</f>
        <v>0</v>
      </c>
      <c r="D162" s="14" t="e">
        <f t="shared" si="24"/>
        <v>#DIV/0!</v>
      </c>
      <c r="E162" s="15" t="e">
        <f t="shared" si="25"/>
        <v>#DIV/0!</v>
      </c>
      <c r="F162" s="15" t="e">
        <f>ROUND(D161*ROUND(((1+'CALCULADORA TIPS E-6'!$C$14)^(1/12)-1),6),6)</f>
        <v>#DIV/0!</v>
      </c>
      <c r="G162" s="15" t="e">
        <f t="shared" si="26"/>
        <v>#DIV/0!</v>
      </c>
      <c r="H162" s="28" t="e">
        <f>IF($B162=0,0,G162/POWER(1+'CALCULADORA TIPS E-6'!$F$11,'Flujos Mensuales'!$B162/365))</f>
        <v>#DIV/0!</v>
      </c>
      <c r="I162" s="30">
        <f t="shared" si="23"/>
        <v>43211</v>
      </c>
      <c r="J162" s="25">
        <v>160</v>
      </c>
      <c r="K162" s="12">
        <f t="shared" si="27"/>
        <v>4866</v>
      </c>
      <c r="L162" s="96" t="e">
        <f t="shared" si="28"/>
        <v>#DIV/0!</v>
      </c>
      <c r="M162" s="93" t="e">
        <f t="shared" si="29"/>
        <v>#DIV/0!</v>
      </c>
      <c r="N162" s="93" t="e">
        <f t="shared" si="30"/>
        <v>#DIV/0!</v>
      </c>
      <c r="O162" s="94" t="e">
        <f t="shared" si="31"/>
        <v>#DIV/0!</v>
      </c>
    </row>
    <row r="163" spans="1:15" ht="12.75">
      <c r="A163" s="4">
        <f aca="true" t="shared" si="32" ref="A163:A182">_XLL.FECHA.MES(A162,1)</f>
        <v>43241</v>
      </c>
      <c r="B163" s="9">
        <f>IF(DIAS365('CALCULADORA TIPS E-6'!$E$6,A163)&lt;0,0,DIAS365('CALCULADORA TIPS E-6'!$E$6,A163))</f>
        <v>2462</v>
      </c>
      <c r="C163" s="5">
        <f>+HLOOKUP('CALCULADORA TIPS E-6'!$E$4,Tablas!$B$1:$D$181,'Flujos Mensuales'!J163+1,FALSE)</f>
        <v>0</v>
      </c>
      <c r="D163" s="14" t="e">
        <f t="shared" si="24"/>
        <v>#DIV/0!</v>
      </c>
      <c r="E163" s="15" t="e">
        <f t="shared" si="25"/>
        <v>#DIV/0!</v>
      </c>
      <c r="F163" s="15" t="e">
        <f>ROUND(D162*ROUND(((1+'CALCULADORA TIPS E-6'!$C$14)^(1/12)-1),6),6)</f>
        <v>#DIV/0!</v>
      </c>
      <c r="G163" s="15" t="e">
        <f t="shared" si="26"/>
        <v>#DIV/0!</v>
      </c>
      <c r="H163" s="28" t="e">
        <f>IF($B163=0,0,G163/POWER(1+'CALCULADORA TIPS E-6'!$F$11,'Flujos Mensuales'!$B163/365))</f>
        <v>#DIV/0!</v>
      </c>
      <c r="I163" s="30">
        <f t="shared" si="23"/>
        <v>43241</v>
      </c>
      <c r="J163" s="25">
        <v>161</v>
      </c>
      <c r="K163" s="12">
        <f t="shared" si="27"/>
        <v>4896</v>
      </c>
      <c r="L163" s="96" t="e">
        <f t="shared" si="28"/>
        <v>#DIV/0!</v>
      </c>
      <c r="M163" s="93" t="e">
        <f t="shared" si="29"/>
        <v>#DIV/0!</v>
      </c>
      <c r="N163" s="93" t="e">
        <f t="shared" si="30"/>
        <v>#DIV/0!</v>
      </c>
      <c r="O163" s="94" t="e">
        <f t="shared" si="31"/>
        <v>#DIV/0!</v>
      </c>
    </row>
    <row r="164" spans="1:15" ht="12.75">
      <c r="A164" s="4">
        <f t="shared" si="32"/>
        <v>43272</v>
      </c>
      <c r="B164" s="9">
        <f>IF(DIAS365('CALCULADORA TIPS E-6'!$E$6,A164)&lt;0,0,DIAS365('CALCULADORA TIPS E-6'!$E$6,A164))</f>
        <v>2493</v>
      </c>
      <c r="C164" s="5">
        <f>+HLOOKUP('CALCULADORA TIPS E-6'!$E$4,Tablas!$B$1:$D$181,'Flujos Mensuales'!J164+1,FALSE)</f>
        <v>0</v>
      </c>
      <c r="D164" s="14" t="e">
        <f t="shared" si="24"/>
        <v>#DIV/0!</v>
      </c>
      <c r="E164" s="15" t="e">
        <f t="shared" si="25"/>
        <v>#DIV/0!</v>
      </c>
      <c r="F164" s="15" t="e">
        <f>ROUND(D163*ROUND(((1+'CALCULADORA TIPS E-6'!$C$14)^(1/12)-1),6),6)</f>
        <v>#DIV/0!</v>
      </c>
      <c r="G164" s="15" t="e">
        <f t="shared" si="26"/>
        <v>#DIV/0!</v>
      </c>
      <c r="H164" s="28" t="e">
        <f>IF($B164=0,0,G164/POWER(1+'CALCULADORA TIPS E-6'!$F$11,'Flujos Mensuales'!$B164/365))</f>
        <v>#DIV/0!</v>
      </c>
      <c r="I164" s="30">
        <f t="shared" si="23"/>
        <v>43272</v>
      </c>
      <c r="J164" s="25">
        <v>162</v>
      </c>
      <c r="K164" s="12">
        <f t="shared" si="27"/>
        <v>4927</v>
      </c>
      <c r="L164" s="96" t="e">
        <f t="shared" si="28"/>
        <v>#DIV/0!</v>
      </c>
      <c r="M164" s="93" t="e">
        <f t="shared" si="29"/>
        <v>#DIV/0!</v>
      </c>
      <c r="N164" s="93" t="e">
        <f t="shared" si="30"/>
        <v>#DIV/0!</v>
      </c>
      <c r="O164" s="94" t="e">
        <f t="shared" si="31"/>
        <v>#DIV/0!</v>
      </c>
    </row>
    <row r="165" spans="1:15" ht="12.75">
      <c r="A165" s="4">
        <f t="shared" si="32"/>
        <v>43302</v>
      </c>
      <c r="B165" s="9">
        <f>IF(DIAS365('CALCULADORA TIPS E-6'!$E$6,A165)&lt;0,0,DIAS365('CALCULADORA TIPS E-6'!$E$6,A165))</f>
        <v>2523</v>
      </c>
      <c r="C165" s="5">
        <f>+HLOOKUP('CALCULADORA TIPS E-6'!$E$4,Tablas!$B$1:$D$181,'Flujos Mensuales'!J165+1,FALSE)</f>
        <v>0</v>
      </c>
      <c r="D165" s="14" t="e">
        <f t="shared" si="24"/>
        <v>#DIV/0!</v>
      </c>
      <c r="E165" s="15" t="e">
        <f t="shared" si="25"/>
        <v>#DIV/0!</v>
      </c>
      <c r="F165" s="15" t="e">
        <f>ROUND(D164*ROUND(((1+'CALCULADORA TIPS E-6'!$C$14)^(1/12)-1),6),6)</f>
        <v>#DIV/0!</v>
      </c>
      <c r="G165" s="15" t="e">
        <f t="shared" si="26"/>
        <v>#DIV/0!</v>
      </c>
      <c r="H165" s="28" t="e">
        <f>IF($B165=0,0,G165/POWER(1+'CALCULADORA TIPS E-6'!$F$11,'Flujos Mensuales'!$B165/365))</f>
        <v>#DIV/0!</v>
      </c>
      <c r="I165" s="30">
        <f t="shared" si="23"/>
        <v>43302</v>
      </c>
      <c r="J165" s="25">
        <v>163</v>
      </c>
      <c r="K165" s="12">
        <f t="shared" si="27"/>
        <v>4957</v>
      </c>
      <c r="L165" s="96" t="e">
        <f t="shared" si="28"/>
        <v>#DIV/0!</v>
      </c>
      <c r="M165" s="93" t="e">
        <f t="shared" si="29"/>
        <v>#DIV/0!</v>
      </c>
      <c r="N165" s="93" t="e">
        <f t="shared" si="30"/>
        <v>#DIV/0!</v>
      </c>
      <c r="O165" s="94" t="e">
        <f t="shared" si="31"/>
        <v>#DIV/0!</v>
      </c>
    </row>
    <row r="166" spans="1:15" ht="12.75">
      <c r="A166" s="4">
        <f t="shared" si="32"/>
        <v>43333</v>
      </c>
      <c r="B166" s="9">
        <f>IF(DIAS365('CALCULADORA TIPS E-6'!$E$6,A166)&lt;0,0,DIAS365('CALCULADORA TIPS E-6'!$E$6,A166))</f>
        <v>2554</v>
      </c>
      <c r="C166" s="5">
        <f>+HLOOKUP('CALCULADORA TIPS E-6'!$E$4,Tablas!$B$1:$D$181,'Flujos Mensuales'!J166+1,FALSE)</f>
        <v>0</v>
      </c>
      <c r="D166" s="14" t="e">
        <f t="shared" si="24"/>
        <v>#DIV/0!</v>
      </c>
      <c r="E166" s="15" t="e">
        <f t="shared" si="25"/>
        <v>#DIV/0!</v>
      </c>
      <c r="F166" s="15" t="e">
        <f>ROUND(D165*ROUND(((1+'CALCULADORA TIPS E-6'!$C$14)^(1/12)-1),6),6)</f>
        <v>#DIV/0!</v>
      </c>
      <c r="G166" s="15" t="e">
        <f t="shared" si="26"/>
        <v>#DIV/0!</v>
      </c>
      <c r="H166" s="28" t="e">
        <f>IF($B166=0,0,G166/POWER(1+'CALCULADORA TIPS E-6'!$F$11,'Flujos Mensuales'!$B166/365))</f>
        <v>#DIV/0!</v>
      </c>
      <c r="I166" s="30">
        <f t="shared" si="23"/>
        <v>43333</v>
      </c>
      <c r="J166" s="25">
        <v>164</v>
      </c>
      <c r="K166" s="12">
        <f t="shared" si="27"/>
        <v>4988</v>
      </c>
      <c r="L166" s="96" t="e">
        <f t="shared" si="28"/>
        <v>#DIV/0!</v>
      </c>
      <c r="M166" s="93" t="e">
        <f t="shared" si="29"/>
        <v>#DIV/0!</v>
      </c>
      <c r="N166" s="93" t="e">
        <f t="shared" si="30"/>
        <v>#DIV/0!</v>
      </c>
      <c r="O166" s="94" t="e">
        <f t="shared" si="31"/>
        <v>#DIV/0!</v>
      </c>
    </row>
    <row r="167" spans="1:15" ht="12.75">
      <c r="A167" s="4">
        <f t="shared" si="32"/>
        <v>43364</v>
      </c>
      <c r="B167" s="9">
        <f>IF(DIAS365('CALCULADORA TIPS E-6'!$E$6,A167)&lt;0,0,DIAS365('CALCULADORA TIPS E-6'!$E$6,A167))</f>
        <v>2585</v>
      </c>
      <c r="C167" s="5">
        <f>+HLOOKUP('CALCULADORA TIPS E-6'!$E$4,Tablas!$B$1:$D$181,'Flujos Mensuales'!J167+1,FALSE)</f>
        <v>0</v>
      </c>
      <c r="D167" s="14" t="e">
        <f t="shared" si="24"/>
        <v>#DIV/0!</v>
      </c>
      <c r="E167" s="15" t="e">
        <f t="shared" si="25"/>
        <v>#DIV/0!</v>
      </c>
      <c r="F167" s="15" t="e">
        <f>ROUND(D166*ROUND(((1+'CALCULADORA TIPS E-6'!$C$14)^(1/12)-1),6),6)</f>
        <v>#DIV/0!</v>
      </c>
      <c r="G167" s="15" t="e">
        <f t="shared" si="26"/>
        <v>#DIV/0!</v>
      </c>
      <c r="H167" s="28" t="e">
        <f>IF($B167=0,0,G167/POWER(1+'CALCULADORA TIPS E-6'!$F$11,'Flujos Mensuales'!$B167/365))</f>
        <v>#DIV/0!</v>
      </c>
      <c r="I167" s="30">
        <f t="shared" si="23"/>
        <v>43364</v>
      </c>
      <c r="J167" s="25">
        <v>165</v>
      </c>
      <c r="K167" s="12">
        <f t="shared" si="27"/>
        <v>5019</v>
      </c>
      <c r="L167" s="96" t="e">
        <f t="shared" si="28"/>
        <v>#DIV/0!</v>
      </c>
      <c r="M167" s="93" t="e">
        <f t="shared" si="29"/>
        <v>#DIV/0!</v>
      </c>
      <c r="N167" s="93" t="e">
        <f t="shared" si="30"/>
        <v>#DIV/0!</v>
      </c>
      <c r="O167" s="94" t="e">
        <f t="shared" si="31"/>
        <v>#DIV/0!</v>
      </c>
    </row>
    <row r="168" spans="1:15" ht="12.75">
      <c r="A168" s="4">
        <f t="shared" si="32"/>
        <v>43394</v>
      </c>
      <c r="B168" s="9">
        <f>IF(DIAS365('CALCULADORA TIPS E-6'!$E$6,A168)&lt;0,0,DIAS365('CALCULADORA TIPS E-6'!$E$6,A168))</f>
        <v>2615</v>
      </c>
      <c r="C168" s="5">
        <f>+HLOOKUP('CALCULADORA TIPS E-6'!$E$4,Tablas!$B$1:$D$181,'Flujos Mensuales'!J168+1,FALSE)</f>
        <v>0</v>
      </c>
      <c r="D168" s="14" t="e">
        <f t="shared" si="24"/>
        <v>#DIV/0!</v>
      </c>
      <c r="E168" s="15" t="e">
        <f t="shared" si="25"/>
        <v>#DIV/0!</v>
      </c>
      <c r="F168" s="15" t="e">
        <f>ROUND(D167*ROUND(((1+'CALCULADORA TIPS E-6'!$C$14)^(1/12)-1),6),6)</f>
        <v>#DIV/0!</v>
      </c>
      <c r="G168" s="15" t="e">
        <f t="shared" si="26"/>
        <v>#DIV/0!</v>
      </c>
      <c r="H168" s="28" t="e">
        <f>IF($B168=0,0,G168/POWER(1+'CALCULADORA TIPS E-6'!$F$11,'Flujos Mensuales'!$B168/365))</f>
        <v>#DIV/0!</v>
      </c>
      <c r="I168" s="30">
        <f t="shared" si="23"/>
        <v>43394</v>
      </c>
      <c r="J168" s="25">
        <v>166</v>
      </c>
      <c r="K168" s="12">
        <f t="shared" si="27"/>
        <v>5049</v>
      </c>
      <c r="L168" s="96" t="e">
        <f t="shared" si="28"/>
        <v>#DIV/0!</v>
      </c>
      <c r="M168" s="93" t="e">
        <f t="shared" si="29"/>
        <v>#DIV/0!</v>
      </c>
      <c r="N168" s="93" t="e">
        <f t="shared" si="30"/>
        <v>#DIV/0!</v>
      </c>
      <c r="O168" s="94" t="e">
        <f t="shared" si="31"/>
        <v>#DIV/0!</v>
      </c>
    </row>
    <row r="169" spans="1:15" ht="12.75">
      <c r="A169" s="4">
        <f t="shared" si="32"/>
        <v>43425</v>
      </c>
      <c r="B169" s="9">
        <f>IF(DIAS365('CALCULADORA TIPS E-6'!$E$6,A169)&lt;0,0,DIAS365('CALCULADORA TIPS E-6'!$E$6,A169))</f>
        <v>2646</v>
      </c>
      <c r="C169" s="5">
        <f>+HLOOKUP('CALCULADORA TIPS E-6'!$E$4,Tablas!$B$1:$D$181,'Flujos Mensuales'!J169+1,FALSE)</f>
        <v>0</v>
      </c>
      <c r="D169" s="14" t="e">
        <f t="shared" si="24"/>
        <v>#DIV/0!</v>
      </c>
      <c r="E169" s="15" t="e">
        <f t="shared" si="25"/>
        <v>#DIV/0!</v>
      </c>
      <c r="F169" s="15" t="e">
        <f>ROUND(D168*ROUND(((1+'CALCULADORA TIPS E-6'!$C$14)^(1/12)-1),6),6)</f>
        <v>#DIV/0!</v>
      </c>
      <c r="G169" s="15" t="e">
        <f t="shared" si="26"/>
        <v>#DIV/0!</v>
      </c>
      <c r="H169" s="28" t="e">
        <f>IF($B169=0,0,G169/POWER(1+'CALCULADORA TIPS E-6'!$F$11,'Flujos Mensuales'!$B169/365))</f>
        <v>#DIV/0!</v>
      </c>
      <c r="I169" s="30">
        <f t="shared" si="23"/>
        <v>43425</v>
      </c>
      <c r="J169" s="25">
        <v>167</v>
      </c>
      <c r="K169" s="12">
        <f t="shared" si="27"/>
        <v>5080</v>
      </c>
      <c r="L169" s="96" t="e">
        <f t="shared" si="28"/>
        <v>#DIV/0!</v>
      </c>
      <c r="M169" s="93" t="e">
        <f t="shared" si="29"/>
        <v>#DIV/0!</v>
      </c>
      <c r="N169" s="93" t="e">
        <f t="shared" si="30"/>
        <v>#DIV/0!</v>
      </c>
      <c r="O169" s="94" t="e">
        <f t="shared" si="31"/>
        <v>#DIV/0!</v>
      </c>
    </row>
    <row r="170" spans="1:15" ht="12.75">
      <c r="A170" s="4">
        <f t="shared" si="32"/>
        <v>43455</v>
      </c>
      <c r="B170" s="9">
        <f>IF(DIAS365('CALCULADORA TIPS E-6'!$E$6,A170)&lt;0,0,DIAS365('CALCULADORA TIPS E-6'!$E$6,A170))</f>
        <v>2676</v>
      </c>
      <c r="C170" s="5">
        <f>+HLOOKUP('CALCULADORA TIPS E-6'!$E$4,Tablas!$B$1:$D$181,'Flujos Mensuales'!J170+1,FALSE)</f>
        <v>0</v>
      </c>
      <c r="D170" s="14" t="e">
        <f t="shared" si="24"/>
        <v>#DIV/0!</v>
      </c>
      <c r="E170" s="15" t="e">
        <f t="shared" si="25"/>
        <v>#DIV/0!</v>
      </c>
      <c r="F170" s="15" t="e">
        <f>ROUND(D169*ROUND(((1+'CALCULADORA TIPS E-6'!$C$14)^(1/12)-1),6),6)</f>
        <v>#DIV/0!</v>
      </c>
      <c r="G170" s="15" t="e">
        <f t="shared" si="26"/>
        <v>#DIV/0!</v>
      </c>
      <c r="H170" s="28" t="e">
        <f>IF($B170=0,0,G170/POWER(1+'CALCULADORA TIPS E-6'!$F$11,'Flujos Mensuales'!$B170/365))</f>
        <v>#DIV/0!</v>
      </c>
      <c r="I170" s="30">
        <f t="shared" si="23"/>
        <v>43455</v>
      </c>
      <c r="J170" s="25">
        <v>168</v>
      </c>
      <c r="K170" s="12">
        <f t="shared" si="27"/>
        <v>5110</v>
      </c>
      <c r="L170" s="96" t="e">
        <f t="shared" si="28"/>
        <v>#DIV/0!</v>
      </c>
      <c r="M170" s="93" t="e">
        <f t="shared" si="29"/>
        <v>#DIV/0!</v>
      </c>
      <c r="N170" s="93" t="e">
        <f t="shared" si="30"/>
        <v>#DIV/0!</v>
      </c>
      <c r="O170" s="94" t="e">
        <f t="shared" si="31"/>
        <v>#DIV/0!</v>
      </c>
    </row>
    <row r="171" spans="1:15" ht="12.75">
      <c r="A171" s="4">
        <f t="shared" si="32"/>
        <v>43486</v>
      </c>
      <c r="B171" s="9">
        <f>IF(DIAS365('CALCULADORA TIPS E-6'!$E$6,A171)&lt;0,0,DIAS365('CALCULADORA TIPS E-6'!$E$6,A171))</f>
        <v>2707</v>
      </c>
      <c r="C171" s="5">
        <f>+HLOOKUP('CALCULADORA TIPS E-6'!$E$4,Tablas!$B$1:$D$181,'Flujos Mensuales'!J171+1,FALSE)</f>
        <v>0</v>
      </c>
      <c r="D171" s="14" t="e">
        <f t="shared" si="24"/>
        <v>#DIV/0!</v>
      </c>
      <c r="E171" s="15" t="e">
        <f t="shared" si="25"/>
        <v>#DIV/0!</v>
      </c>
      <c r="F171" s="15" t="e">
        <f>ROUND(D170*ROUND(((1+'CALCULADORA TIPS E-6'!$C$14)^(1/12)-1),6),6)</f>
        <v>#DIV/0!</v>
      </c>
      <c r="G171" s="15" t="e">
        <f t="shared" si="26"/>
        <v>#DIV/0!</v>
      </c>
      <c r="H171" s="28" t="e">
        <f>IF($B171=0,0,G171/POWER(1+'CALCULADORA TIPS E-6'!$F$11,'Flujos Mensuales'!$B171/365))</f>
        <v>#DIV/0!</v>
      </c>
      <c r="I171" s="30">
        <f t="shared" si="23"/>
        <v>43486</v>
      </c>
      <c r="J171" s="25">
        <v>169</v>
      </c>
      <c r="K171" s="12">
        <f t="shared" si="27"/>
        <v>5141</v>
      </c>
      <c r="L171" s="96" t="e">
        <f t="shared" si="28"/>
        <v>#DIV/0!</v>
      </c>
      <c r="M171" s="93" t="e">
        <f t="shared" si="29"/>
        <v>#DIV/0!</v>
      </c>
      <c r="N171" s="93" t="e">
        <f t="shared" si="30"/>
        <v>#DIV/0!</v>
      </c>
      <c r="O171" s="94" t="e">
        <f t="shared" si="31"/>
        <v>#DIV/0!</v>
      </c>
    </row>
    <row r="172" spans="1:15" ht="12.75">
      <c r="A172" s="4">
        <f t="shared" si="32"/>
        <v>43517</v>
      </c>
      <c r="B172" s="9">
        <f>IF(DIAS365('CALCULADORA TIPS E-6'!$E$6,A172)&lt;0,0,DIAS365('CALCULADORA TIPS E-6'!$E$6,A172))</f>
        <v>2738</v>
      </c>
      <c r="C172" s="5">
        <f>+HLOOKUP('CALCULADORA TIPS E-6'!$E$4,Tablas!$B$1:$D$181,'Flujos Mensuales'!J172+1,FALSE)</f>
        <v>0</v>
      </c>
      <c r="D172" s="14" t="e">
        <f t="shared" si="24"/>
        <v>#DIV/0!</v>
      </c>
      <c r="E172" s="15" t="e">
        <f t="shared" si="25"/>
        <v>#DIV/0!</v>
      </c>
      <c r="F172" s="15" t="e">
        <f>ROUND(D171*ROUND(((1+'CALCULADORA TIPS E-6'!$C$14)^(1/12)-1),6),6)</f>
        <v>#DIV/0!</v>
      </c>
      <c r="G172" s="15" t="e">
        <f t="shared" si="26"/>
        <v>#DIV/0!</v>
      </c>
      <c r="H172" s="28" t="e">
        <f>IF($B172=0,0,G172/POWER(1+'CALCULADORA TIPS E-6'!$F$11,'Flujos Mensuales'!$B172/365))</f>
        <v>#DIV/0!</v>
      </c>
      <c r="I172" s="30">
        <f t="shared" si="23"/>
        <v>43517</v>
      </c>
      <c r="J172" s="25">
        <v>170</v>
      </c>
      <c r="K172" s="12">
        <f t="shared" si="27"/>
        <v>5172</v>
      </c>
      <c r="L172" s="96" t="e">
        <f t="shared" si="28"/>
        <v>#DIV/0!</v>
      </c>
      <c r="M172" s="93" t="e">
        <f t="shared" si="29"/>
        <v>#DIV/0!</v>
      </c>
      <c r="N172" s="93" t="e">
        <f t="shared" si="30"/>
        <v>#DIV/0!</v>
      </c>
      <c r="O172" s="94" t="e">
        <f t="shared" si="31"/>
        <v>#DIV/0!</v>
      </c>
    </row>
    <row r="173" spans="1:15" ht="12.75">
      <c r="A173" s="4">
        <f t="shared" si="32"/>
        <v>43545</v>
      </c>
      <c r="B173" s="9">
        <f>IF(DIAS365('CALCULADORA TIPS E-6'!$E$6,A173)&lt;0,0,DIAS365('CALCULADORA TIPS E-6'!$E$6,A173))</f>
        <v>2766</v>
      </c>
      <c r="C173" s="5">
        <f>+HLOOKUP('CALCULADORA TIPS E-6'!$E$4,Tablas!$B$1:$D$181,'Flujos Mensuales'!J173+1,FALSE)</f>
        <v>0</v>
      </c>
      <c r="D173" s="14" t="e">
        <f t="shared" si="24"/>
        <v>#DIV/0!</v>
      </c>
      <c r="E173" s="15" t="e">
        <f t="shared" si="25"/>
        <v>#DIV/0!</v>
      </c>
      <c r="F173" s="15" t="e">
        <f>ROUND(D172*ROUND(((1+'CALCULADORA TIPS E-6'!$C$14)^(1/12)-1),6),6)</f>
        <v>#DIV/0!</v>
      </c>
      <c r="G173" s="15" t="e">
        <f t="shared" si="26"/>
        <v>#DIV/0!</v>
      </c>
      <c r="H173" s="28" t="e">
        <f>IF($B173=0,0,G173/POWER(1+'CALCULADORA TIPS E-6'!$F$11,'Flujos Mensuales'!$B173/365))</f>
        <v>#DIV/0!</v>
      </c>
      <c r="I173" s="30">
        <f t="shared" si="23"/>
        <v>43545</v>
      </c>
      <c r="J173" s="25">
        <v>171</v>
      </c>
      <c r="K173" s="12">
        <f t="shared" si="27"/>
        <v>5200</v>
      </c>
      <c r="L173" s="96" t="e">
        <f t="shared" si="28"/>
        <v>#DIV/0!</v>
      </c>
      <c r="M173" s="93" t="e">
        <f t="shared" si="29"/>
        <v>#DIV/0!</v>
      </c>
      <c r="N173" s="93" t="e">
        <f t="shared" si="30"/>
        <v>#DIV/0!</v>
      </c>
      <c r="O173" s="94" t="e">
        <f t="shared" si="31"/>
        <v>#DIV/0!</v>
      </c>
    </row>
    <row r="174" spans="1:15" ht="12.75">
      <c r="A174" s="4">
        <f t="shared" si="32"/>
        <v>43576</v>
      </c>
      <c r="B174" s="9">
        <f>IF(DIAS365('CALCULADORA TIPS E-6'!$E$6,A174)&lt;0,0,DIAS365('CALCULADORA TIPS E-6'!$E$6,A174))</f>
        <v>2797</v>
      </c>
      <c r="C174" s="5">
        <f>+HLOOKUP('CALCULADORA TIPS E-6'!$E$4,Tablas!$B$1:$D$181,'Flujos Mensuales'!J174+1,FALSE)</f>
        <v>0</v>
      </c>
      <c r="D174" s="14" t="e">
        <f t="shared" si="24"/>
        <v>#DIV/0!</v>
      </c>
      <c r="E174" s="15" t="e">
        <f t="shared" si="25"/>
        <v>#DIV/0!</v>
      </c>
      <c r="F174" s="15" t="e">
        <f>ROUND(D173*ROUND(((1+'CALCULADORA TIPS E-6'!$C$14)^(1/12)-1),6),6)</f>
        <v>#DIV/0!</v>
      </c>
      <c r="G174" s="15" t="e">
        <f t="shared" si="26"/>
        <v>#DIV/0!</v>
      </c>
      <c r="H174" s="28" t="e">
        <f>IF($B174=0,0,G174/POWER(1+'CALCULADORA TIPS E-6'!$F$11,'Flujos Mensuales'!$B174/365))</f>
        <v>#DIV/0!</v>
      </c>
      <c r="I174" s="30">
        <f t="shared" si="23"/>
        <v>43576</v>
      </c>
      <c r="J174" s="25">
        <v>172</v>
      </c>
      <c r="K174" s="12">
        <f t="shared" si="27"/>
        <v>5231</v>
      </c>
      <c r="L174" s="96" t="e">
        <f t="shared" si="28"/>
        <v>#DIV/0!</v>
      </c>
      <c r="M174" s="93" t="e">
        <f t="shared" si="29"/>
        <v>#DIV/0!</v>
      </c>
      <c r="N174" s="93" t="e">
        <f t="shared" si="30"/>
        <v>#DIV/0!</v>
      </c>
      <c r="O174" s="94" t="e">
        <f t="shared" si="31"/>
        <v>#DIV/0!</v>
      </c>
    </row>
    <row r="175" spans="1:15" ht="12.75">
      <c r="A175" s="4">
        <f t="shared" si="32"/>
        <v>43606</v>
      </c>
      <c r="B175" s="9">
        <f>IF(DIAS365('CALCULADORA TIPS E-6'!$E$6,A175)&lt;0,0,DIAS365('CALCULADORA TIPS E-6'!$E$6,A175))</f>
        <v>2827</v>
      </c>
      <c r="C175" s="5">
        <f>+HLOOKUP('CALCULADORA TIPS E-6'!$E$4,Tablas!$B$1:$D$181,'Flujos Mensuales'!J175+1,FALSE)</f>
        <v>0</v>
      </c>
      <c r="D175" s="14" t="e">
        <f t="shared" si="24"/>
        <v>#DIV/0!</v>
      </c>
      <c r="E175" s="15" t="e">
        <f t="shared" si="25"/>
        <v>#DIV/0!</v>
      </c>
      <c r="F175" s="15" t="e">
        <f>ROUND(D174*ROUND(((1+'CALCULADORA TIPS E-6'!$C$14)^(1/12)-1),6),6)</f>
        <v>#DIV/0!</v>
      </c>
      <c r="G175" s="15" t="e">
        <f t="shared" si="26"/>
        <v>#DIV/0!</v>
      </c>
      <c r="H175" s="28" t="e">
        <f>IF($B175=0,0,G175/POWER(1+'CALCULADORA TIPS E-6'!$F$11,'Flujos Mensuales'!$B175/365))</f>
        <v>#DIV/0!</v>
      </c>
      <c r="I175" s="30">
        <f t="shared" si="23"/>
        <v>43606</v>
      </c>
      <c r="J175" s="25">
        <v>173</v>
      </c>
      <c r="K175" s="12">
        <f t="shared" si="27"/>
        <v>5261</v>
      </c>
      <c r="L175" s="96" t="e">
        <f t="shared" si="28"/>
        <v>#DIV/0!</v>
      </c>
      <c r="M175" s="93" t="e">
        <f t="shared" si="29"/>
        <v>#DIV/0!</v>
      </c>
      <c r="N175" s="93" t="e">
        <f t="shared" si="30"/>
        <v>#DIV/0!</v>
      </c>
      <c r="O175" s="94" t="e">
        <f t="shared" si="31"/>
        <v>#DIV/0!</v>
      </c>
    </row>
    <row r="176" spans="1:15" ht="12.75">
      <c r="A176" s="4">
        <f t="shared" si="32"/>
        <v>43637</v>
      </c>
      <c r="B176" s="9">
        <f>IF(DIAS365('CALCULADORA TIPS E-6'!$E$6,A176)&lt;0,0,DIAS365('CALCULADORA TIPS E-6'!$E$6,A176))</f>
        <v>2858</v>
      </c>
      <c r="C176" s="5">
        <f>+HLOOKUP('CALCULADORA TIPS E-6'!$E$4,Tablas!$B$1:$D$181,'Flujos Mensuales'!J176+1,FALSE)</f>
        <v>0</v>
      </c>
      <c r="D176" s="14" t="e">
        <f t="shared" si="24"/>
        <v>#DIV/0!</v>
      </c>
      <c r="E176" s="15" t="e">
        <f t="shared" si="25"/>
        <v>#DIV/0!</v>
      </c>
      <c r="F176" s="15" t="e">
        <f>ROUND(D175*ROUND(((1+'CALCULADORA TIPS E-6'!$C$14)^(1/12)-1),6),6)</f>
        <v>#DIV/0!</v>
      </c>
      <c r="G176" s="15" t="e">
        <f t="shared" si="26"/>
        <v>#DIV/0!</v>
      </c>
      <c r="H176" s="28" t="e">
        <f>IF($B176=0,0,G176/POWER(1+'CALCULADORA TIPS E-6'!$F$11,'Flujos Mensuales'!$B176/365))</f>
        <v>#DIV/0!</v>
      </c>
      <c r="I176" s="30">
        <f t="shared" si="23"/>
        <v>43637</v>
      </c>
      <c r="J176" s="25">
        <v>174</v>
      </c>
      <c r="K176" s="12">
        <f t="shared" si="27"/>
        <v>5292</v>
      </c>
      <c r="L176" s="96" t="e">
        <f t="shared" si="28"/>
        <v>#DIV/0!</v>
      </c>
      <c r="M176" s="93" t="e">
        <f t="shared" si="29"/>
        <v>#DIV/0!</v>
      </c>
      <c r="N176" s="93" t="e">
        <f t="shared" si="30"/>
        <v>#DIV/0!</v>
      </c>
      <c r="O176" s="94" t="e">
        <f t="shared" si="31"/>
        <v>#DIV/0!</v>
      </c>
    </row>
    <row r="177" spans="1:15" ht="12.75">
      <c r="A177" s="4">
        <f t="shared" si="32"/>
        <v>43667</v>
      </c>
      <c r="B177" s="9">
        <f>IF(DIAS365('CALCULADORA TIPS E-6'!$E$6,A177)&lt;0,0,DIAS365('CALCULADORA TIPS E-6'!$E$6,A177))</f>
        <v>2888</v>
      </c>
      <c r="C177" s="5">
        <f>+HLOOKUP('CALCULADORA TIPS E-6'!$E$4,Tablas!$B$1:$D$181,'Flujos Mensuales'!J177+1,FALSE)</f>
        <v>0</v>
      </c>
      <c r="D177" s="14" t="e">
        <f t="shared" si="24"/>
        <v>#DIV/0!</v>
      </c>
      <c r="E177" s="15" t="e">
        <f t="shared" si="25"/>
        <v>#DIV/0!</v>
      </c>
      <c r="F177" s="15" t="e">
        <f>ROUND(D176*ROUND(((1+'CALCULADORA TIPS E-6'!$C$14)^(1/12)-1),6),6)</f>
        <v>#DIV/0!</v>
      </c>
      <c r="G177" s="15" t="e">
        <f t="shared" si="26"/>
        <v>#DIV/0!</v>
      </c>
      <c r="H177" s="28" t="e">
        <f>IF($B177=0,0,G177/POWER(1+'CALCULADORA TIPS E-6'!$F$11,'Flujos Mensuales'!$B177/365))</f>
        <v>#DIV/0!</v>
      </c>
      <c r="I177" s="30">
        <f t="shared" si="23"/>
        <v>43667</v>
      </c>
      <c r="J177" s="25">
        <v>175</v>
      </c>
      <c r="K177" s="12">
        <f t="shared" si="27"/>
        <v>5322</v>
      </c>
      <c r="L177" s="96" t="e">
        <f t="shared" si="28"/>
        <v>#DIV/0!</v>
      </c>
      <c r="M177" s="93" t="e">
        <f t="shared" si="29"/>
        <v>#DIV/0!</v>
      </c>
      <c r="N177" s="93" t="e">
        <f t="shared" si="30"/>
        <v>#DIV/0!</v>
      </c>
      <c r="O177" s="94" t="e">
        <f t="shared" si="31"/>
        <v>#DIV/0!</v>
      </c>
    </row>
    <row r="178" spans="1:15" ht="12.75">
      <c r="A178" s="4">
        <f t="shared" si="32"/>
        <v>43698</v>
      </c>
      <c r="B178" s="9">
        <f>IF(DIAS365('CALCULADORA TIPS E-6'!$E$6,A178)&lt;0,0,DIAS365('CALCULADORA TIPS E-6'!$E$6,A178))</f>
        <v>2919</v>
      </c>
      <c r="C178" s="5">
        <f>+HLOOKUP('CALCULADORA TIPS E-6'!$E$4,Tablas!$B$1:$D$181,'Flujos Mensuales'!J178+1,FALSE)</f>
        <v>0</v>
      </c>
      <c r="D178" s="14" t="e">
        <f t="shared" si="24"/>
        <v>#DIV/0!</v>
      </c>
      <c r="E178" s="15" t="e">
        <f t="shared" si="25"/>
        <v>#DIV/0!</v>
      </c>
      <c r="F178" s="15" t="e">
        <f>ROUND(D177*ROUND(((1+'CALCULADORA TIPS E-6'!$C$14)^(1/12)-1),6),6)</f>
        <v>#DIV/0!</v>
      </c>
      <c r="G178" s="15" t="e">
        <f t="shared" si="26"/>
        <v>#DIV/0!</v>
      </c>
      <c r="H178" s="28" t="e">
        <f>IF($B178=0,0,G178/POWER(1+'CALCULADORA TIPS E-6'!$F$11,'Flujos Mensuales'!$B178/365))</f>
        <v>#DIV/0!</v>
      </c>
      <c r="I178" s="30">
        <f t="shared" si="23"/>
        <v>43698</v>
      </c>
      <c r="J178" s="25">
        <v>176</v>
      </c>
      <c r="K178" s="12">
        <f t="shared" si="27"/>
        <v>5353</v>
      </c>
      <c r="L178" s="96" t="e">
        <f t="shared" si="28"/>
        <v>#DIV/0!</v>
      </c>
      <c r="M178" s="93" t="e">
        <f t="shared" si="29"/>
        <v>#DIV/0!</v>
      </c>
      <c r="N178" s="93" t="e">
        <f t="shared" si="30"/>
        <v>#DIV/0!</v>
      </c>
      <c r="O178" s="94" t="e">
        <f t="shared" si="31"/>
        <v>#DIV/0!</v>
      </c>
    </row>
    <row r="179" spans="1:15" ht="12.75">
      <c r="A179" s="4">
        <f t="shared" si="32"/>
        <v>43729</v>
      </c>
      <c r="B179" s="9">
        <f>IF(DIAS365('CALCULADORA TIPS E-6'!$E$6,A179)&lt;0,0,DIAS365('CALCULADORA TIPS E-6'!$E$6,A179))</f>
        <v>2950</v>
      </c>
      <c r="C179" s="5">
        <f>+HLOOKUP('CALCULADORA TIPS E-6'!$E$4,Tablas!$B$1:$D$181,'Flujos Mensuales'!J179+1,FALSE)</f>
        <v>0</v>
      </c>
      <c r="D179" s="14" t="e">
        <f t="shared" si="24"/>
        <v>#DIV/0!</v>
      </c>
      <c r="E179" s="15" t="e">
        <f t="shared" si="25"/>
        <v>#DIV/0!</v>
      </c>
      <c r="F179" s="15" t="e">
        <f>ROUND(D178*ROUND(((1+'CALCULADORA TIPS E-6'!$C$14)^(1/12)-1),6),6)</f>
        <v>#DIV/0!</v>
      </c>
      <c r="G179" s="15" t="e">
        <f t="shared" si="26"/>
        <v>#DIV/0!</v>
      </c>
      <c r="H179" s="28" t="e">
        <f>IF($B179=0,0,G179/POWER(1+'CALCULADORA TIPS E-6'!$F$11,'Flujos Mensuales'!$B179/365))</f>
        <v>#DIV/0!</v>
      </c>
      <c r="I179" s="30">
        <f t="shared" si="23"/>
        <v>43729</v>
      </c>
      <c r="J179" s="25">
        <v>177</v>
      </c>
      <c r="K179" s="12">
        <f t="shared" si="27"/>
        <v>5384</v>
      </c>
      <c r="L179" s="96" t="e">
        <f t="shared" si="28"/>
        <v>#DIV/0!</v>
      </c>
      <c r="M179" s="93" t="e">
        <f t="shared" si="29"/>
        <v>#DIV/0!</v>
      </c>
      <c r="N179" s="93" t="e">
        <f t="shared" si="30"/>
        <v>#DIV/0!</v>
      </c>
      <c r="O179" s="94" t="e">
        <f t="shared" si="31"/>
        <v>#DIV/0!</v>
      </c>
    </row>
    <row r="180" spans="1:15" ht="12.75">
      <c r="A180" s="4">
        <f t="shared" si="32"/>
        <v>43759</v>
      </c>
      <c r="B180" s="9">
        <f>IF(DIAS365('CALCULADORA TIPS E-6'!$E$6,A180)&lt;0,0,DIAS365('CALCULADORA TIPS E-6'!$E$6,A180))</f>
        <v>2980</v>
      </c>
      <c r="C180" s="5">
        <f>+HLOOKUP('CALCULADORA TIPS E-6'!$E$4,Tablas!$B$1:$D$181,'Flujos Mensuales'!J180+1,FALSE)</f>
        <v>0</v>
      </c>
      <c r="D180" s="14" t="e">
        <f t="shared" si="24"/>
        <v>#DIV/0!</v>
      </c>
      <c r="E180" s="15" t="e">
        <f t="shared" si="25"/>
        <v>#DIV/0!</v>
      </c>
      <c r="F180" s="15" t="e">
        <f>ROUND(D179*ROUND(((1+'CALCULADORA TIPS E-6'!$C$14)^(1/12)-1),6),6)</f>
        <v>#DIV/0!</v>
      </c>
      <c r="G180" s="15" t="e">
        <f t="shared" si="26"/>
        <v>#DIV/0!</v>
      </c>
      <c r="H180" s="28" t="e">
        <f>IF($B180=0,0,G180/POWER(1+'CALCULADORA TIPS E-6'!$F$11,'Flujos Mensuales'!$B180/365))</f>
        <v>#DIV/0!</v>
      </c>
      <c r="I180" s="30">
        <f t="shared" si="23"/>
        <v>43759</v>
      </c>
      <c r="J180" s="25">
        <v>178</v>
      </c>
      <c r="K180" s="12">
        <f t="shared" si="27"/>
        <v>5414</v>
      </c>
      <c r="L180" s="96" t="e">
        <f t="shared" si="28"/>
        <v>#DIV/0!</v>
      </c>
      <c r="M180" s="93" t="e">
        <f t="shared" si="29"/>
        <v>#DIV/0!</v>
      </c>
      <c r="N180" s="93" t="e">
        <f t="shared" si="30"/>
        <v>#DIV/0!</v>
      </c>
      <c r="O180" s="94" t="e">
        <f t="shared" si="31"/>
        <v>#DIV/0!</v>
      </c>
    </row>
    <row r="181" spans="1:15" ht="12.75">
      <c r="A181" s="4">
        <f t="shared" si="32"/>
        <v>43790</v>
      </c>
      <c r="B181" s="9">
        <f>IF(DIAS365('CALCULADORA TIPS E-6'!$E$6,A181)&lt;0,0,DIAS365('CALCULADORA TIPS E-6'!$E$6,A181))</f>
        <v>3011</v>
      </c>
      <c r="C181" s="5">
        <f>+HLOOKUP('CALCULADORA TIPS E-6'!$E$4,Tablas!$B$1:$D$181,'Flujos Mensuales'!J181+1,FALSE)</f>
        <v>0</v>
      </c>
      <c r="D181" s="14" t="e">
        <f t="shared" si="24"/>
        <v>#DIV/0!</v>
      </c>
      <c r="E181" s="15" t="e">
        <f t="shared" si="25"/>
        <v>#DIV/0!</v>
      </c>
      <c r="F181" s="15" t="e">
        <f>ROUND(D180*ROUND(((1+'CALCULADORA TIPS E-6'!$C$14)^(1/12)-1),6),6)</f>
        <v>#DIV/0!</v>
      </c>
      <c r="G181" s="15" t="e">
        <f t="shared" si="26"/>
        <v>#DIV/0!</v>
      </c>
      <c r="H181" s="28" t="e">
        <f>IF($B181=0,0,G181/POWER(1+'CALCULADORA TIPS E-6'!$F$11,'Flujos Mensuales'!$B181/365))</f>
        <v>#DIV/0!</v>
      </c>
      <c r="I181" s="30">
        <f t="shared" si="23"/>
        <v>43790</v>
      </c>
      <c r="J181" s="25">
        <v>179</v>
      </c>
      <c r="K181" s="12">
        <f t="shared" si="27"/>
        <v>5445</v>
      </c>
      <c r="L181" s="96" t="e">
        <f t="shared" si="28"/>
        <v>#DIV/0!</v>
      </c>
      <c r="M181" s="93" t="e">
        <f t="shared" si="29"/>
        <v>#DIV/0!</v>
      </c>
      <c r="N181" s="93" t="e">
        <f t="shared" si="30"/>
        <v>#DIV/0!</v>
      </c>
      <c r="O181" s="94" t="e">
        <f t="shared" si="31"/>
        <v>#DIV/0!</v>
      </c>
    </row>
    <row r="182" spans="1:15" ht="13.5" thickBot="1">
      <c r="A182" s="4">
        <f t="shared" si="32"/>
        <v>43820</v>
      </c>
      <c r="B182" s="9">
        <f>IF(DIAS365('CALCULADORA TIPS E-6'!$E$6,A182)&lt;0,0,DIAS365('CALCULADORA TIPS E-6'!$E$6,A182))</f>
        <v>3041</v>
      </c>
      <c r="C182" s="5">
        <f>+HLOOKUP('CALCULADORA TIPS E-6'!$E$4,Tablas!$B$1:$D$181,'Flujos Mensuales'!J182+1,FALSE)</f>
        <v>0</v>
      </c>
      <c r="D182" s="14" t="e">
        <f t="shared" si="24"/>
        <v>#DIV/0!</v>
      </c>
      <c r="E182" s="15" t="e">
        <f t="shared" si="25"/>
        <v>#DIV/0!</v>
      </c>
      <c r="F182" s="15" t="e">
        <f>ROUND(D181*ROUND(((1+'CALCULADORA TIPS E-6'!$C$14)^(1/12)-1),6),6)</f>
        <v>#DIV/0!</v>
      </c>
      <c r="G182" s="15" t="e">
        <f t="shared" si="26"/>
        <v>#DIV/0!</v>
      </c>
      <c r="H182" s="28" t="e">
        <f>IF($B182=0,0,G182/POWER(1+'CALCULADORA TIPS E-6'!$F$11,'Flujos Mensuales'!$B182/365))</f>
        <v>#DIV/0!</v>
      </c>
      <c r="I182" s="31">
        <f t="shared" si="23"/>
        <v>43820</v>
      </c>
      <c r="J182" s="26">
        <v>180</v>
      </c>
      <c r="K182" s="13">
        <f t="shared" si="27"/>
        <v>5475</v>
      </c>
      <c r="L182" s="98" t="e">
        <f t="shared" si="28"/>
        <v>#DIV/0!</v>
      </c>
      <c r="M182" s="99" t="e">
        <f t="shared" si="29"/>
        <v>#DIV/0!</v>
      </c>
      <c r="N182" s="99" t="e">
        <f t="shared" si="30"/>
        <v>#DIV/0!</v>
      </c>
      <c r="O182" s="100" t="e">
        <f t="shared" si="31"/>
        <v>#DIV/0!</v>
      </c>
    </row>
    <row r="183" spans="1:15" ht="13.5" thickBot="1">
      <c r="A183" s="7"/>
      <c r="B183" s="8"/>
      <c r="C183" s="21">
        <f>+SUMIF(B2:B182,"&gt;0",C2:C182)</f>
        <v>0</v>
      </c>
      <c r="D183" s="16"/>
      <c r="E183" s="22" t="e">
        <f>SUM(E2:E182)</f>
        <v>#DIV/0!</v>
      </c>
      <c r="F183" s="22" t="e">
        <f>SUM(F2:F182)</f>
        <v>#DIV/0!</v>
      </c>
      <c r="G183" s="22" t="e">
        <f>SUM(G2:G182)</f>
        <v>#DIV/0!</v>
      </c>
      <c r="H183" s="23" t="e">
        <f>SUM(H2:H182)</f>
        <v>#DIV/0!</v>
      </c>
      <c r="I183" s="10"/>
      <c r="L183" s="101" t="s">
        <v>58</v>
      </c>
      <c r="M183" s="43" t="e">
        <f>SUM(M2:M182)</f>
        <v>#DIV/0!</v>
      </c>
      <c r="N183" s="43" t="e">
        <f>SUM(N2:N182)</f>
        <v>#DIV/0!</v>
      </c>
      <c r="O183" s="44" t="e">
        <f>SUM(O2:O182)</f>
        <v>#DIV/0!</v>
      </c>
    </row>
    <row r="184" spans="4:8" ht="12.75" hidden="1">
      <c r="D184" s="6"/>
      <c r="E184" s="6"/>
      <c r="F184" s="6"/>
      <c r="G184" s="6"/>
      <c r="H184" s="6"/>
    </row>
    <row r="185" ht="12.75" hidden="1"/>
    <row r="186" ht="12.75" hidden="1"/>
    <row r="187" ht="12.75" hidden="1"/>
    <row r="188" ht="12.75" hidden="1"/>
    <row r="189" ht="12.75" hidden="1"/>
    <row r="190" ht="12.75" hidden="1"/>
    <row r="191" ht="12.75" hidden="1"/>
    <row r="192" ht="12.75" hidden="1"/>
    <row r="193" ht="12.75" hidden="1"/>
    <row r="194" ht="12.75" hidden="1"/>
    <row r="195" ht="12.75" hidden="1">
      <c r="E195" s="32"/>
    </row>
  </sheetData>
  <sheetProtection/>
  <printOptions/>
  <pageMargins left="0.3937007874015748" right="0.3937007874015748"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Hoja6"/>
  <dimension ref="A1:B32"/>
  <sheetViews>
    <sheetView zoomScalePageLayoutView="0" workbookViewId="0" topLeftCell="A1">
      <selection activeCell="B3" sqref="B3"/>
    </sheetView>
  </sheetViews>
  <sheetFormatPr defaultColWidth="0" defaultRowHeight="12.75" zeroHeight="1"/>
  <cols>
    <col min="1" max="1" width="10.140625" style="160" bestFit="1" customWidth="1"/>
    <col min="2" max="2" width="9.7109375" style="178" bestFit="1" customWidth="1"/>
    <col min="3" max="16384" width="11.421875" style="105" hidden="1" customWidth="1"/>
  </cols>
  <sheetData>
    <row r="1" spans="1:2" ht="12.75">
      <c r="A1" s="159" t="s">
        <v>0</v>
      </c>
      <c r="B1" s="158" t="s">
        <v>79</v>
      </c>
    </row>
    <row r="2" spans="1:2" ht="12.75">
      <c r="A2" s="160">
        <f>+Características!E2</f>
        <v>40776</v>
      </c>
      <c r="B2" s="214">
        <v>197.1524</v>
      </c>
    </row>
    <row r="3" spans="1:2" ht="12.75">
      <c r="A3" s="160">
        <f>+Características!E3</f>
        <v>40777</v>
      </c>
      <c r="B3" s="214">
        <v>197.1613</v>
      </c>
    </row>
    <row r="4" spans="1:2" ht="12.75">
      <c r="A4" s="160">
        <f>+Características!E4</f>
        <v>40778</v>
      </c>
      <c r="B4" s="214">
        <v>197.1702</v>
      </c>
    </row>
    <row r="5" spans="1:2" ht="12.75">
      <c r="A5" s="160">
        <f>+Características!E5</f>
        <v>40779</v>
      </c>
      <c r="B5" s="214">
        <v>197.1791</v>
      </c>
    </row>
    <row r="6" spans="1:2" ht="12.75">
      <c r="A6" s="160">
        <f>+Características!E6</f>
        <v>40780</v>
      </c>
      <c r="B6" s="214">
        <v>197.188</v>
      </c>
    </row>
    <row r="7" spans="1:2" ht="12.75">
      <c r="A7" s="160">
        <f>+Características!E7</f>
        <v>40781</v>
      </c>
      <c r="B7" s="214">
        <v>197.1969</v>
      </c>
    </row>
    <row r="8" spans="1:2" ht="12.75">
      <c r="A8" s="160">
        <f>+Características!E8</f>
        <v>40782</v>
      </c>
      <c r="B8" s="214">
        <v>197.2058</v>
      </c>
    </row>
    <row r="9" spans="1:2" ht="12.75">
      <c r="A9" s="160">
        <f>+Características!E9</f>
        <v>40783</v>
      </c>
      <c r="B9" s="214">
        <v>197.2147</v>
      </c>
    </row>
    <row r="10" spans="1:2" ht="12.75">
      <c r="A10" s="160">
        <f>+Características!E10</f>
        <v>40784</v>
      </c>
      <c r="B10" s="214">
        <v>197.2236</v>
      </c>
    </row>
    <row r="11" spans="1:2" ht="12.75">
      <c r="A11" s="160">
        <f>+Características!E11</f>
        <v>40785</v>
      </c>
      <c r="B11" s="214">
        <v>197.2325</v>
      </c>
    </row>
    <row r="12" spans="1:2" ht="12.75">
      <c r="A12" s="160">
        <f>+Características!E12</f>
        <v>40786</v>
      </c>
      <c r="B12" s="214">
        <v>197.2414</v>
      </c>
    </row>
    <row r="13" spans="1:2" ht="12.75">
      <c r="A13" s="160">
        <f>+Características!E13</f>
        <v>40787</v>
      </c>
      <c r="B13" s="214">
        <v>197.2503</v>
      </c>
    </row>
    <row r="14" spans="1:2" ht="12.75">
      <c r="A14" s="160">
        <f>+Características!E14</f>
        <v>40788</v>
      </c>
      <c r="B14" s="214">
        <v>197.2592</v>
      </c>
    </row>
    <row r="15" spans="1:2" ht="12.75">
      <c r="A15" s="160">
        <f>+Características!E15</f>
        <v>40789</v>
      </c>
      <c r="B15" s="214">
        <v>197.2681</v>
      </c>
    </row>
    <row r="16" spans="1:2" ht="12.75">
      <c r="A16" s="160">
        <f>+Características!E16</f>
        <v>40790</v>
      </c>
      <c r="B16" s="214">
        <v>197.277</v>
      </c>
    </row>
    <row r="17" spans="1:2" ht="12.75">
      <c r="A17" s="160">
        <f>+Características!E17</f>
        <v>40791</v>
      </c>
      <c r="B17" s="214">
        <v>197.2859</v>
      </c>
    </row>
    <row r="18" spans="1:2" ht="12.75">
      <c r="A18" s="160">
        <f>+Características!E18</f>
        <v>40792</v>
      </c>
      <c r="B18" s="214">
        <v>197.2948</v>
      </c>
    </row>
    <row r="19" spans="1:2" ht="12.75">
      <c r="A19" s="160">
        <f>+Características!E19</f>
        <v>40793</v>
      </c>
      <c r="B19" s="214">
        <v>197.3037</v>
      </c>
    </row>
    <row r="20" spans="1:2" ht="12.75">
      <c r="A20" s="160">
        <f>+Características!E20</f>
        <v>40794</v>
      </c>
      <c r="B20" s="214">
        <v>197.3126</v>
      </c>
    </row>
    <row r="21" spans="1:2" ht="12.75">
      <c r="A21" s="160">
        <f>+Características!E21</f>
        <v>40795</v>
      </c>
      <c r="B21" s="214">
        <v>197.3215</v>
      </c>
    </row>
    <row r="22" spans="1:2" ht="12.75">
      <c r="A22" s="160">
        <f>+Características!E22</f>
        <v>40796</v>
      </c>
      <c r="B22" s="214">
        <v>197.3304</v>
      </c>
    </row>
    <row r="23" spans="1:2" ht="12.75">
      <c r="A23" s="160">
        <f>+Características!E23</f>
        <v>40797</v>
      </c>
      <c r="B23" s="214">
        <v>197.3393</v>
      </c>
    </row>
    <row r="24" spans="1:2" ht="12.75">
      <c r="A24" s="160">
        <f>+Características!E24</f>
        <v>40798</v>
      </c>
      <c r="B24" s="214">
        <v>197.3482</v>
      </c>
    </row>
    <row r="25" spans="1:2" ht="12.75">
      <c r="A25" s="160">
        <f>+Características!E25</f>
        <v>40799</v>
      </c>
      <c r="B25" s="214">
        <v>197.3571</v>
      </c>
    </row>
    <row r="26" spans="1:2" ht="12.75">
      <c r="A26" s="160">
        <f>+Características!E26</f>
        <v>40800</v>
      </c>
      <c r="B26" s="214">
        <v>197.366</v>
      </c>
    </row>
    <row r="27" spans="1:2" ht="12.75">
      <c r="A27" s="160">
        <f>+Características!E27</f>
        <v>40801</v>
      </c>
      <c r="B27" s="214">
        <v>197.3749</v>
      </c>
    </row>
    <row r="28" spans="1:2" ht="12.75">
      <c r="A28" s="160">
        <f>+Características!E28</f>
        <v>40802</v>
      </c>
      <c r="B28" s="263"/>
    </row>
    <row r="29" spans="1:2" ht="12.75">
      <c r="A29" s="160">
        <f>+Características!E29</f>
        <v>40803</v>
      </c>
      <c r="B29" s="263"/>
    </row>
    <row r="30" spans="1:2" ht="12.75">
      <c r="A30" s="160">
        <f>+Características!E30</f>
        <v>40804</v>
      </c>
      <c r="B30" s="263"/>
    </row>
    <row r="31" spans="1:2" ht="12.75">
      <c r="A31" s="160">
        <f>+Características!E31</f>
        <v>40805</v>
      </c>
      <c r="B31" s="263"/>
    </row>
    <row r="32" spans="1:2" ht="12.75">
      <c r="A32" s="160">
        <f>+Características!E32</f>
        <v>40806</v>
      </c>
      <c r="B32" s="263"/>
    </row>
    <row r="33" ht="12.75" hidden="1"/>
    <row r="34" ht="12.75" hidden="1"/>
    <row r="35" ht="12.75" hidden="1"/>
    <row r="36" ht="12.75" hidden="1"/>
    <row r="37" ht="12.75" hidden="1"/>
    <row r="38" ht="12.75" hidden="1"/>
    <row r="39" ht="12.75" hidden="1"/>
  </sheetData>
  <sheetProtection password="C539" sheet="1" objects="1" scenarios="1"/>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3"/>
  <dimension ref="A1:Y185"/>
  <sheetViews>
    <sheetView zoomScalePageLayoutView="0" workbookViewId="0" topLeftCell="A1">
      <pane xSplit="1" ySplit="2" topLeftCell="B60" activePane="bottomRight" state="frozen"/>
      <selection pane="topLeft" activeCell="A1" sqref="A1"/>
      <selection pane="topRight" activeCell="B1" sqref="B1"/>
      <selection pane="bottomLeft" activeCell="A3" sqref="A3"/>
      <selection pane="bottomRight" activeCell="H82" sqref="H82"/>
    </sheetView>
  </sheetViews>
  <sheetFormatPr defaultColWidth="11.421875" defaultRowHeight="12.75"/>
  <cols>
    <col min="1" max="1" width="10.140625" style="129" bestFit="1" customWidth="1"/>
    <col min="2" max="4" width="16.7109375" style="129" customWidth="1"/>
    <col min="5" max="5" width="3.421875" style="129" customWidth="1"/>
    <col min="6" max="8" width="16.7109375" style="129" customWidth="1"/>
    <col min="9" max="9" width="3.421875" style="129" customWidth="1"/>
    <col min="10" max="12" width="16.7109375" style="129" customWidth="1"/>
    <col min="13" max="13" width="3.421875" style="129" customWidth="1"/>
    <col min="14" max="16" width="16.7109375" style="129" customWidth="1"/>
    <col min="17" max="17" width="3.421875" style="129" customWidth="1"/>
    <col min="18" max="20" width="16.7109375" style="129" customWidth="1"/>
    <col min="21" max="21" width="3.421875" style="129" customWidth="1"/>
    <col min="22" max="24" width="16.7109375" style="129" customWidth="1"/>
    <col min="25" max="16384" width="11.421875" style="129" customWidth="1"/>
  </cols>
  <sheetData>
    <row r="1" spans="1:24" s="126" customFormat="1" ht="13.5" thickBot="1">
      <c r="A1" s="274" t="s">
        <v>1</v>
      </c>
      <c r="B1" s="271" t="s">
        <v>67</v>
      </c>
      <c r="C1" s="272"/>
      <c r="D1" s="273"/>
      <c r="F1" s="271" t="s">
        <v>68</v>
      </c>
      <c r="G1" s="272"/>
      <c r="H1" s="273"/>
      <c r="J1" s="271" t="s">
        <v>69</v>
      </c>
      <c r="K1" s="272"/>
      <c r="L1" s="273"/>
      <c r="N1" s="271" t="s">
        <v>70</v>
      </c>
      <c r="O1" s="272"/>
      <c r="P1" s="273"/>
      <c r="R1" s="271" t="s">
        <v>71</v>
      </c>
      <c r="S1" s="272"/>
      <c r="T1" s="273"/>
      <c r="V1" s="271" t="s">
        <v>5</v>
      </c>
      <c r="W1" s="272"/>
      <c r="X1" s="273"/>
    </row>
    <row r="2" spans="1:24" ht="13.5" thickBot="1">
      <c r="A2" s="275"/>
      <c r="B2" s="127" t="str">
        <f>+Características!$B$1</f>
        <v>TIPS E-6 A 2009</v>
      </c>
      <c r="C2" s="128" t="str">
        <f>+Características!$C$1</f>
        <v>TIPS E-6 A 2014</v>
      </c>
      <c r="D2" s="128" t="str">
        <f>+Características!$D$1</f>
        <v>TIPS E-6 A 2019</v>
      </c>
      <c r="F2" s="127" t="str">
        <f>+Características!$B$1</f>
        <v>TIPS E-6 A 2009</v>
      </c>
      <c r="G2" s="128" t="str">
        <f>+Características!$C$1</f>
        <v>TIPS E-6 A 2014</v>
      </c>
      <c r="H2" s="128" t="str">
        <f>+Características!$D$1</f>
        <v>TIPS E-6 A 2019</v>
      </c>
      <c r="J2" s="127" t="str">
        <f>+Características!$B$1</f>
        <v>TIPS E-6 A 2009</v>
      </c>
      <c r="K2" s="128" t="str">
        <f>+Características!$C$1</f>
        <v>TIPS E-6 A 2014</v>
      </c>
      <c r="L2" s="128" t="str">
        <f>+Características!$D$1</f>
        <v>TIPS E-6 A 2019</v>
      </c>
      <c r="N2" s="127" t="str">
        <f>+Características!$B$1</f>
        <v>TIPS E-6 A 2009</v>
      </c>
      <c r="O2" s="128" t="str">
        <f>+Características!$C$1</f>
        <v>TIPS E-6 A 2014</v>
      </c>
      <c r="P2" s="128" t="str">
        <f>+Características!$D$1</f>
        <v>TIPS E-6 A 2019</v>
      </c>
      <c r="R2" s="127" t="str">
        <f>+Características!$B$1</f>
        <v>TIPS E-6 A 2009</v>
      </c>
      <c r="S2" s="128" t="str">
        <f>+Características!$C$1</f>
        <v>TIPS E-6 A 2014</v>
      </c>
      <c r="T2" s="128" t="str">
        <f>+Características!$D$1</f>
        <v>TIPS E-6 A 2019</v>
      </c>
      <c r="V2" s="127" t="str">
        <f>+Características!$B$1</f>
        <v>TIPS E-6 A 2009</v>
      </c>
      <c r="W2" s="128" t="str">
        <f>+Características!$C$1</f>
        <v>TIPS E-6 A 2014</v>
      </c>
      <c r="X2" s="128" t="str">
        <f>+Características!$D$1</f>
        <v>TIPS E-6 A 2019</v>
      </c>
    </row>
    <row r="3" spans="1:24" ht="12.75">
      <c r="A3" s="130">
        <f>+_XLL.FECHA.MES(Características!B4,1)</f>
        <v>38373</v>
      </c>
      <c r="B3" s="131">
        <v>0</v>
      </c>
      <c r="C3" s="131">
        <v>0</v>
      </c>
      <c r="D3" s="131">
        <v>0</v>
      </c>
      <c r="F3" s="131">
        <v>0</v>
      </c>
      <c r="G3" s="131">
        <v>0</v>
      </c>
      <c r="H3" s="131">
        <v>0</v>
      </c>
      <c r="J3" s="131">
        <v>0</v>
      </c>
      <c r="K3" s="131">
        <v>0</v>
      </c>
      <c r="L3" s="131">
        <v>0</v>
      </c>
      <c r="N3" s="131">
        <v>0</v>
      </c>
      <c r="O3" s="131">
        <v>0</v>
      </c>
      <c r="P3" s="131">
        <v>0</v>
      </c>
      <c r="R3" s="131">
        <v>0</v>
      </c>
      <c r="S3" s="131">
        <v>0</v>
      </c>
      <c r="T3" s="131">
        <v>0</v>
      </c>
      <c r="V3" s="131">
        <v>0</v>
      </c>
      <c r="W3" s="132">
        <v>0</v>
      </c>
      <c r="X3" s="132">
        <v>0</v>
      </c>
    </row>
    <row r="4" spans="1:24" ht="12.75">
      <c r="A4" s="130">
        <f aca="true" t="shared" si="0" ref="A4:A35">+_XLL.FECHA.MES(A3,1)</f>
        <v>38404</v>
      </c>
      <c r="B4" s="131">
        <v>0</v>
      </c>
      <c r="C4" s="131">
        <v>0</v>
      </c>
      <c r="D4" s="131">
        <v>0</v>
      </c>
      <c r="F4" s="131">
        <v>0</v>
      </c>
      <c r="G4" s="131">
        <v>0</v>
      </c>
      <c r="H4" s="131">
        <v>0</v>
      </c>
      <c r="J4" s="131">
        <v>0</v>
      </c>
      <c r="K4" s="131">
        <v>0</v>
      </c>
      <c r="L4" s="131">
        <v>0</v>
      </c>
      <c r="N4" s="131">
        <v>0</v>
      </c>
      <c r="O4" s="131">
        <v>0</v>
      </c>
      <c r="P4" s="131">
        <v>0</v>
      </c>
      <c r="R4" s="131">
        <v>0</v>
      </c>
      <c r="S4" s="131">
        <v>0</v>
      </c>
      <c r="T4" s="131">
        <v>0</v>
      </c>
      <c r="V4" s="131">
        <v>0</v>
      </c>
      <c r="W4" s="132">
        <v>0</v>
      </c>
      <c r="X4" s="132">
        <v>0</v>
      </c>
    </row>
    <row r="5" spans="1:24" ht="12.75">
      <c r="A5" s="130">
        <f t="shared" si="0"/>
        <v>38432</v>
      </c>
      <c r="B5" s="131">
        <v>0.1061373</v>
      </c>
      <c r="C5" s="131">
        <v>0</v>
      </c>
      <c r="D5" s="131">
        <v>0</v>
      </c>
      <c r="F5" s="131">
        <v>0.1061373</v>
      </c>
      <c r="G5" s="131">
        <v>0</v>
      </c>
      <c r="H5" s="131">
        <v>0</v>
      </c>
      <c r="J5" s="131">
        <v>0.1061373</v>
      </c>
      <c r="K5" s="131">
        <v>0</v>
      </c>
      <c r="L5" s="131">
        <v>0</v>
      </c>
      <c r="N5" s="131">
        <v>0.1061373</v>
      </c>
      <c r="O5" s="131">
        <v>0</v>
      </c>
      <c r="P5" s="131">
        <v>0</v>
      </c>
      <c r="R5" s="131">
        <v>0.1061373</v>
      </c>
      <c r="S5" s="131">
        <v>0</v>
      </c>
      <c r="T5" s="131">
        <v>0</v>
      </c>
      <c r="V5" s="131">
        <v>0.1061373</v>
      </c>
      <c r="W5" s="132">
        <v>0</v>
      </c>
      <c r="X5" s="132">
        <v>0</v>
      </c>
    </row>
    <row r="6" spans="1:24" ht="12.75">
      <c r="A6" s="130">
        <f t="shared" si="0"/>
        <v>38463</v>
      </c>
      <c r="B6" s="131">
        <v>0.03894843</v>
      </c>
      <c r="C6" s="131">
        <v>0</v>
      </c>
      <c r="D6" s="131">
        <v>0</v>
      </c>
      <c r="F6" s="131">
        <v>0.03894843</v>
      </c>
      <c r="G6" s="131">
        <v>0</v>
      </c>
      <c r="H6" s="131">
        <v>0</v>
      </c>
      <c r="J6" s="131">
        <v>0.03894843</v>
      </c>
      <c r="K6" s="131">
        <v>0</v>
      </c>
      <c r="L6" s="131">
        <v>0</v>
      </c>
      <c r="N6" s="131">
        <v>0.03894843</v>
      </c>
      <c r="O6" s="131">
        <v>0</v>
      </c>
      <c r="P6" s="131">
        <v>0</v>
      </c>
      <c r="R6" s="131">
        <v>0.03894843</v>
      </c>
      <c r="S6" s="131">
        <v>0</v>
      </c>
      <c r="T6" s="131">
        <v>0</v>
      </c>
      <c r="V6" s="131">
        <v>0.03894843</v>
      </c>
      <c r="W6" s="132">
        <v>0</v>
      </c>
      <c r="X6" s="132">
        <v>0</v>
      </c>
    </row>
    <row r="7" spans="1:24" ht="12.75">
      <c r="A7" s="130">
        <f t="shared" si="0"/>
        <v>38493</v>
      </c>
      <c r="B7" s="131">
        <v>0.03810902</v>
      </c>
      <c r="C7" s="131">
        <v>0</v>
      </c>
      <c r="D7" s="131">
        <v>0</v>
      </c>
      <c r="F7" s="131">
        <v>0.03810902</v>
      </c>
      <c r="G7" s="131">
        <v>0</v>
      </c>
      <c r="H7" s="131">
        <v>0</v>
      </c>
      <c r="J7" s="131">
        <v>0.03810902</v>
      </c>
      <c r="K7" s="131">
        <v>0</v>
      </c>
      <c r="L7" s="131">
        <v>0</v>
      </c>
      <c r="N7" s="131">
        <v>0.03810902</v>
      </c>
      <c r="O7" s="131">
        <v>0</v>
      </c>
      <c r="P7" s="131">
        <v>0</v>
      </c>
      <c r="R7" s="131">
        <v>0.03810902</v>
      </c>
      <c r="S7" s="131">
        <v>0</v>
      </c>
      <c r="T7" s="131">
        <v>0</v>
      </c>
      <c r="V7" s="131">
        <v>0.03810902</v>
      </c>
      <c r="W7" s="132">
        <v>0</v>
      </c>
      <c r="X7" s="132">
        <v>0</v>
      </c>
    </row>
    <row r="8" spans="1:24" ht="12.75">
      <c r="A8" s="130">
        <f t="shared" si="0"/>
        <v>38524</v>
      </c>
      <c r="B8" s="131">
        <v>0.03580935</v>
      </c>
      <c r="C8" s="131">
        <v>0</v>
      </c>
      <c r="D8" s="131">
        <v>0</v>
      </c>
      <c r="F8" s="131">
        <v>0.03580935</v>
      </c>
      <c r="G8" s="131">
        <v>0</v>
      </c>
      <c r="H8" s="131">
        <v>0</v>
      </c>
      <c r="J8" s="131">
        <v>0.03580935</v>
      </c>
      <c r="K8" s="131">
        <v>0</v>
      </c>
      <c r="L8" s="131">
        <v>0</v>
      </c>
      <c r="N8" s="131">
        <v>0.03580935</v>
      </c>
      <c r="O8" s="131">
        <v>0</v>
      </c>
      <c r="P8" s="131">
        <v>0</v>
      </c>
      <c r="R8" s="131">
        <v>0.03580935</v>
      </c>
      <c r="S8" s="131">
        <v>0</v>
      </c>
      <c r="T8" s="131">
        <v>0</v>
      </c>
      <c r="V8" s="131">
        <v>0.03580935</v>
      </c>
      <c r="W8" s="132">
        <v>0</v>
      </c>
      <c r="X8" s="132">
        <v>0</v>
      </c>
    </row>
    <row r="9" spans="1:24" ht="12.75">
      <c r="A9" s="130">
        <f t="shared" si="0"/>
        <v>38554</v>
      </c>
      <c r="B9" s="131">
        <v>0.04186175</v>
      </c>
      <c r="C9" s="131">
        <v>0</v>
      </c>
      <c r="D9" s="131">
        <v>0</v>
      </c>
      <c r="F9" s="131">
        <v>0.04186175</v>
      </c>
      <c r="G9" s="131">
        <v>0</v>
      </c>
      <c r="H9" s="131">
        <v>0</v>
      </c>
      <c r="J9" s="131">
        <v>0.04186175</v>
      </c>
      <c r="K9" s="131">
        <v>0</v>
      </c>
      <c r="L9" s="131">
        <v>0</v>
      </c>
      <c r="N9" s="131">
        <v>0.04186175</v>
      </c>
      <c r="O9" s="131">
        <v>0</v>
      </c>
      <c r="P9" s="131">
        <v>0</v>
      </c>
      <c r="R9" s="131">
        <v>0.04186175</v>
      </c>
      <c r="S9" s="131">
        <v>0</v>
      </c>
      <c r="T9" s="131">
        <v>0</v>
      </c>
      <c r="V9" s="131">
        <v>0.04186175</v>
      </c>
      <c r="W9" s="132">
        <v>0</v>
      </c>
      <c r="X9" s="132">
        <v>0</v>
      </c>
    </row>
    <row r="10" spans="1:24" ht="12.75">
      <c r="A10" s="130">
        <f t="shared" si="0"/>
        <v>38585</v>
      </c>
      <c r="B10" s="131">
        <v>0.03893996</v>
      </c>
      <c r="C10" s="131">
        <v>0</v>
      </c>
      <c r="D10" s="131">
        <v>0</v>
      </c>
      <c r="F10" s="131">
        <v>0.03893996</v>
      </c>
      <c r="G10" s="131">
        <v>0</v>
      </c>
      <c r="H10" s="131">
        <v>0</v>
      </c>
      <c r="J10" s="131">
        <v>0.03893996</v>
      </c>
      <c r="K10" s="131">
        <v>0</v>
      </c>
      <c r="L10" s="131">
        <v>0</v>
      </c>
      <c r="N10" s="131">
        <v>0.03893996</v>
      </c>
      <c r="O10" s="131">
        <v>0</v>
      </c>
      <c r="P10" s="131">
        <v>0</v>
      </c>
      <c r="R10" s="131">
        <v>0.03893996</v>
      </c>
      <c r="S10" s="131">
        <v>0</v>
      </c>
      <c r="T10" s="131">
        <v>0</v>
      </c>
      <c r="V10" s="131">
        <v>0.03893996</v>
      </c>
      <c r="W10" s="132">
        <v>0</v>
      </c>
      <c r="X10" s="132">
        <v>0</v>
      </c>
    </row>
    <row r="11" spans="1:24" ht="12.75">
      <c r="A11" s="130">
        <f t="shared" si="0"/>
        <v>38616</v>
      </c>
      <c r="B11" s="131">
        <v>0.0408219</v>
      </c>
      <c r="C11" s="131">
        <v>0</v>
      </c>
      <c r="D11" s="131">
        <v>0</v>
      </c>
      <c r="F11" s="131">
        <v>0.0408219</v>
      </c>
      <c r="G11" s="131">
        <v>0</v>
      </c>
      <c r="H11" s="131">
        <v>0</v>
      </c>
      <c r="J11" s="131">
        <v>0.0408219</v>
      </c>
      <c r="K11" s="131">
        <v>0</v>
      </c>
      <c r="L11" s="131">
        <v>0</v>
      </c>
      <c r="N11" s="131">
        <v>0.0408219</v>
      </c>
      <c r="O11" s="131">
        <v>0</v>
      </c>
      <c r="P11" s="131">
        <v>0</v>
      </c>
      <c r="R11" s="131">
        <v>0.0408219</v>
      </c>
      <c r="S11" s="131">
        <v>0</v>
      </c>
      <c r="T11" s="131">
        <v>0</v>
      </c>
      <c r="V11" s="131">
        <v>0.0408219</v>
      </c>
      <c r="W11" s="132">
        <v>0</v>
      </c>
      <c r="X11" s="132">
        <v>0</v>
      </c>
    </row>
    <row r="12" spans="1:24" ht="12.75">
      <c r="A12" s="130">
        <f t="shared" si="0"/>
        <v>38646</v>
      </c>
      <c r="B12" s="131">
        <v>0.04023188</v>
      </c>
      <c r="C12" s="131">
        <v>0</v>
      </c>
      <c r="D12" s="131">
        <v>0</v>
      </c>
      <c r="F12" s="131">
        <v>0.04023188</v>
      </c>
      <c r="G12" s="131">
        <v>0</v>
      </c>
      <c r="H12" s="131">
        <v>0</v>
      </c>
      <c r="J12" s="131">
        <v>0.04023188</v>
      </c>
      <c r="K12" s="131">
        <v>0</v>
      </c>
      <c r="L12" s="131">
        <v>0</v>
      </c>
      <c r="N12" s="131">
        <v>0.04023188</v>
      </c>
      <c r="O12" s="131">
        <v>0</v>
      </c>
      <c r="P12" s="131">
        <v>0</v>
      </c>
      <c r="R12" s="131">
        <v>0.04023188</v>
      </c>
      <c r="S12" s="131">
        <v>0</v>
      </c>
      <c r="T12" s="131">
        <v>0</v>
      </c>
      <c r="V12" s="131">
        <v>0.04023188</v>
      </c>
      <c r="W12" s="132">
        <v>0</v>
      </c>
      <c r="X12" s="132">
        <v>0</v>
      </c>
    </row>
    <row r="13" spans="1:24" ht="12.75">
      <c r="A13" s="130">
        <f t="shared" si="0"/>
        <v>38677</v>
      </c>
      <c r="B13" s="131">
        <v>0.03468324</v>
      </c>
      <c r="C13" s="131">
        <v>0</v>
      </c>
      <c r="D13" s="131">
        <v>0</v>
      </c>
      <c r="F13" s="131">
        <v>0.03468324</v>
      </c>
      <c r="G13" s="131">
        <v>0</v>
      </c>
      <c r="H13" s="131">
        <v>0</v>
      </c>
      <c r="J13" s="131">
        <v>0.03468324</v>
      </c>
      <c r="K13" s="131">
        <v>0</v>
      </c>
      <c r="L13" s="131">
        <v>0</v>
      </c>
      <c r="N13" s="131">
        <v>0.03468324</v>
      </c>
      <c r="O13" s="131">
        <v>0</v>
      </c>
      <c r="P13" s="131">
        <v>0</v>
      </c>
      <c r="R13" s="131">
        <v>0.03468324</v>
      </c>
      <c r="S13" s="131">
        <v>0</v>
      </c>
      <c r="T13" s="131">
        <v>0</v>
      </c>
      <c r="V13" s="131">
        <v>0.03468324</v>
      </c>
      <c r="W13" s="132">
        <v>0</v>
      </c>
      <c r="X13" s="132">
        <v>0</v>
      </c>
    </row>
    <row r="14" spans="1:24" ht="12.75">
      <c r="A14" s="130">
        <f t="shared" si="0"/>
        <v>38707</v>
      </c>
      <c r="B14" s="131">
        <v>0.04400543</v>
      </c>
      <c r="C14" s="131">
        <v>0</v>
      </c>
      <c r="D14" s="131">
        <v>0</v>
      </c>
      <c r="F14" s="131">
        <v>0.04400543</v>
      </c>
      <c r="G14" s="131">
        <v>0</v>
      </c>
      <c r="H14" s="131">
        <v>0</v>
      </c>
      <c r="J14" s="131">
        <v>0.04400543</v>
      </c>
      <c r="K14" s="131">
        <v>0</v>
      </c>
      <c r="L14" s="131">
        <v>0</v>
      </c>
      <c r="N14" s="131">
        <v>0.04400543</v>
      </c>
      <c r="O14" s="131">
        <v>0</v>
      </c>
      <c r="P14" s="131">
        <v>0</v>
      </c>
      <c r="R14" s="131">
        <v>0.04400543</v>
      </c>
      <c r="S14" s="131">
        <v>0</v>
      </c>
      <c r="T14" s="131">
        <v>0</v>
      </c>
      <c r="V14" s="131">
        <v>0.04400543</v>
      </c>
      <c r="W14" s="132">
        <v>0</v>
      </c>
      <c r="X14" s="132">
        <v>0</v>
      </c>
    </row>
    <row r="15" spans="1:24" ht="12.75">
      <c r="A15" s="130">
        <f t="shared" si="0"/>
        <v>38738</v>
      </c>
      <c r="B15" s="131">
        <v>0.04071869</v>
      </c>
      <c r="C15" s="131">
        <v>0</v>
      </c>
      <c r="D15" s="131">
        <v>0</v>
      </c>
      <c r="F15" s="131">
        <v>0.04071869</v>
      </c>
      <c r="G15" s="131">
        <v>0</v>
      </c>
      <c r="H15" s="131">
        <v>0</v>
      </c>
      <c r="J15" s="131">
        <v>0.04071869</v>
      </c>
      <c r="K15" s="131">
        <v>0</v>
      </c>
      <c r="L15" s="131">
        <v>0</v>
      </c>
      <c r="N15" s="131">
        <v>0.04071869</v>
      </c>
      <c r="O15" s="131">
        <v>0</v>
      </c>
      <c r="P15" s="131">
        <v>0</v>
      </c>
      <c r="R15" s="131">
        <v>0.04071869</v>
      </c>
      <c r="S15" s="131">
        <v>0</v>
      </c>
      <c r="T15" s="131">
        <v>0</v>
      </c>
      <c r="V15" s="131">
        <v>0.04071869</v>
      </c>
      <c r="W15" s="132">
        <v>0</v>
      </c>
      <c r="X15" s="132">
        <v>0</v>
      </c>
    </row>
    <row r="16" spans="1:24" ht="12.75">
      <c r="A16" s="130">
        <f t="shared" si="0"/>
        <v>38769</v>
      </c>
      <c r="B16" s="131">
        <v>0.03820928</v>
      </c>
      <c r="C16" s="131">
        <v>0</v>
      </c>
      <c r="D16" s="131">
        <v>0</v>
      </c>
      <c r="F16" s="131">
        <v>0.03820928</v>
      </c>
      <c r="G16" s="131">
        <v>0</v>
      </c>
      <c r="H16" s="131">
        <v>0</v>
      </c>
      <c r="J16" s="131">
        <v>0.03820928</v>
      </c>
      <c r="K16" s="131">
        <v>0</v>
      </c>
      <c r="L16" s="131">
        <v>0</v>
      </c>
      <c r="N16" s="131">
        <v>0.03820928</v>
      </c>
      <c r="O16" s="131">
        <v>0</v>
      </c>
      <c r="P16" s="131">
        <v>0</v>
      </c>
      <c r="R16" s="131">
        <v>0.03820928</v>
      </c>
      <c r="S16" s="131">
        <v>0</v>
      </c>
      <c r="T16" s="131">
        <v>0</v>
      </c>
      <c r="V16" s="131">
        <v>0.03820928</v>
      </c>
      <c r="W16" s="132">
        <v>0</v>
      </c>
      <c r="X16" s="132">
        <v>0</v>
      </c>
    </row>
    <row r="17" spans="1:24" ht="12.75">
      <c r="A17" s="130">
        <f t="shared" si="0"/>
        <v>38797</v>
      </c>
      <c r="B17" s="131">
        <v>0.03509452</v>
      </c>
      <c r="C17" s="131">
        <v>0</v>
      </c>
      <c r="D17" s="131">
        <v>0</v>
      </c>
      <c r="F17" s="131">
        <v>0.03509452</v>
      </c>
      <c r="G17" s="131">
        <v>0</v>
      </c>
      <c r="H17" s="131">
        <v>0</v>
      </c>
      <c r="J17" s="131">
        <v>0.03509452</v>
      </c>
      <c r="K17" s="131">
        <v>0</v>
      </c>
      <c r="L17" s="131">
        <v>0</v>
      </c>
      <c r="N17" s="131">
        <v>0.03509452</v>
      </c>
      <c r="O17" s="131">
        <v>0</v>
      </c>
      <c r="P17" s="131">
        <v>0</v>
      </c>
      <c r="R17" s="131">
        <v>0.03509452</v>
      </c>
      <c r="S17" s="131">
        <v>0</v>
      </c>
      <c r="T17" s="131">
        <v>0</v>
      </c>
      <c r="V17" s="131">
        <v>0.03509452</v>
      </c>
      <c r="W17" s="132">
        <v>0</v>
      </c>
      <c r="X17" s="132">
        <v>0</v>
      </c>
    </row>
    <row r="18" spans="1:24" ht="12.75">
      <c r="A18" s="130">
        <f t="shared" si="0"/>
        <v>38828</v>
      </c>
      <c r="B18" s="131">
        <v>0.0791871</v>
      </c>
      <c r="C18" s="131">
        <v>0</v>
      </c>
      <c r="D18" s="131">
        <v>0</v>
      </c>
      <c r="F18" s="131">
        <v>0.0791871</v>
      </c>
      <c r="G18" s="131">
        <v>0</v>
      </c>
      <c r="H18" s="131">
        <v>0</v>
      </c>
      <c r="J18" s="131">
        <v>0.0791871</v>
      </c>
      <c r="K18" s="131">
        <v>0</v>
      </c>
      <c r="L18" s="131">
        <v>0</v>
      </c>
      <c r="N18" s="131">
        <v>0.0791871</v>
      </c>
      <c r="O18" s="131">
        <v>0</v>
      </c>
      <c r="P18" s="131">
        <v>0</v>
      </c>
      <c r="R18" s="131">
        <v>0.0791871</v>
      </c>
      <c r="S18" s="131">
        <v>0</v>
      </c>
      <c r="T18" s="131">
        <v>0</v>
      </c>
      <c r="V18" s="131">
        <v>0.0791871</v>
      </c>
      <c r="W18" s="132">
        <v>0</v>
      </c>
      <c r="X18" s="132">
        <v>0</v>
      </c>
    </row>
    <row r="19" spans="1:24" ht="12.75">
      <c r="A19" s="130">
        <f t="shared" si="0"/>
        <v>38858</v>
      </c>
      <c r="B19" s="131">
        <v>0.13189181</v>
      </c>
      <c r="C19" s="131">
        <v>0</v>
      </c>
      <c r="D19" s="131">
        <v>0</v>
      </c>
      <c r="F19" s="131">
        <v>0.13189181</v>
      </c>
      <c r="G19" s="131">
        <v>0</v>
      </c>
      <c r="H19" s="131">
        <v>0</v>
      </c>
      <c r="J19" s="131">
        <v>0.13189181</v>
      </c>
      <c r="K19" s="131">
        <v>0</v>
      </c>
      <c r="L19" s="131">
        <v>0</v>
      </c>
      <c r="N19" s="131">
        <v>0.13189181</v>
      </c>
      <c r="O19" s="131">
        <v>0</v>
      </c>
      <c r="P19" s="131">
        <v>0</v>
      </c>
      <c r="R19" s="131">
        <v>0.13189181</v>
      </c>
      <c r="S19" s="131">
        <v>0</v>
      </c>
      <c r="T19" s="131">
        <v>0</v>
      </c>
      <c r="V19" s="131">
        <v>0.13189181</v>
      </c>
      <c r="W19" s="132">
        <v>0</v>
      </c>
      <c r="X19" s="132">
        <v>0</v>
      </c>
    </row>
    <row r="20" spans="1:24" ht="12.75">
      <c r="A20" s="130">
        <f t="shared" si="0"/>
        <v>38889</v>
      </c>
      <c r="B20" s="131">
        <v>0.17045641</v>
      </c>
      <c r="C20" s="131">
        <v>0</v>
      </c>
      <c r="D20" s="131">
        <v>0</v>
      </c>
      <c r="F20" s="131">
        <v>0.17045641</v>
      </c>
      <c r="G20" s="131">
        <v>0</v>
      </c>
      <c r="H20" s="131">
        <v>0</v>
      </c>
      <c r="J20" s="131">
        <v>0.17045641</v>
      </c>
      <c r="K20" s="131">
        <v>0</v>
      </c>
      <c r="L20" s="131">
        <v>0</v>
      </c>
      <c r="N20" s="131">
        <v>0.17045641</v>
      </c>
      <c r="O20" s="131">
        <v>0</v>
      </c>
      <c r="P20" s="131">
        <v>0</v>
      </c>
      <c r="R20" s="131">
        <v>0.17045641</v>
      </c>
      <c r="S20" s="131">
        <v>0</v>
      </c>
      <c r="T20" s="131">
        <v>0</v>
      </c>
      <c r="V20" s="131">
        <v>0.17045641</v>
      </c>
      <c r="W20" s="132">
        <v>0</v>
      </c>
      <c r="X20" s="132">
        <v>0</v>
      </c>
    </row>
    <row r="21" spans="1:24" ht="12.75">
      <c r="A21" s="130">
        <f t="shared" si="0"/>
        <v>38919</v>
      </c>
      <c r="B21" s="131">
        <v>0.04489393</v>
      </c>
      <c r="C21" s="131">
        <v>0.05019189</v>
      </c>
      <c r="D21" s="131">
        <v>0</v>
      </c>
      <c r="F21" s="131">
        <v>0.04489393</v>
      </c>
      <c r="G21" s="131">
        <v>0.05019189</v>
      </c>
      <c r="H21" s="131">
        <v>0</v>
      </c>
      <c r="J21" s="131">
        <v>0.04489393</v>
      </c>
      <c r="K21" s="131">
        <v>0.05019189</v>
      </c>
      <c r="L21" s="131">
        <v>0</v>
      </c>
      <c r="N21" s="131">
        <v>0.04489393</v>
      </c>
      <c r="O21" s="131">
        <v>0.05019189</v>
      </c>
      <c r="P21" s="131">
        <v>0</v>
      </c>
      <c r="R21" s="131">
        <v>0.04489393</v>
      </c>
      <c r="S21" s="131">
        <v>0.05019189</v>
      </c>
      <c r="T21" s="131">
        <v>0</v>
      </c>
      <c r="V21" s="131">
        <v>0.04489393</v>
      </c>
      <c r="W21" s="132">
        <v>0.05019189</v>
      </c>
      <c r="X21" s="132">
        <v>0</v>
      </c>
    </row>
    <row r="22" spans="1:24" ht="12.75">
      <c r="A22" s="130">
        <f t="shared" si="0"/>
        <v>38950</v>
      </c>
      <c r="B22" s="131">
        <v>0</v>
      </c>
      <c r="C22" s="131">
        <v>0.09956531</v>
      </c>
      <c r="D22" s="131">
        <v>0</v>
      </c>
      <c r="F22" s="131">
        <v>0</v>
      </c>
      <c r="G22" s="131">
        <v>0.09956531</v>
      </c>
      <c r="H22" s="131">
        <v>0</v>
      </c>
      <c r="J22" s="131">
        <v>0</v>
      </c>
      <c r="K22" s="131">
        <v>0.09956531</v>
      </c>
      <c r="L22" s="131">
        <v>0</v>
      </c>
      <c r="N22" s="131">
        <v>0</v>
      </c>
      <c r="O22" s="131">
        <v>0.09956531</v>
      </c>
      <c r="P22" s="131">
        <v>0</v>
      </c>
      <c r="R22" s="131">
        <v>0</v>
      </c>
      <c r="S22" s="131">
        <v>0.09956531</v>
      </c>
      <c r="T22" s="131">
        <v>0</v>
      </c>
      <c r="V22" s="131">
        <v>0</v>
      </c>
      <c r="W22" s="132">
        <v>0.09956531</v>
      </c>
      <c r="X22" s="132">
        <v>0</v>
      </c>
    </row>
    <row r="23" spans="1:24" ht="12.75">
      <c r="A23" s="130">
        <f t="shared" si="0"/>
        <v>38981</v>
      </c>
      <c r="B23" s="131">
        <v>0</v>
      </c>
      <c r="C23" s="131">
        <v>0.08317965</v>
      </c>
      <c r="D23" s="131">
        <v>0</v>
      </c>
      <c r="F23" s="131">
        <v>0</v>
      </c>
      <c r="G23" s="131">
        <v>0.08317965</v>
      </c>
      <c r="H23" s="131">
        <v>0</v>
      </c>
      <c r="J23" s="131">
        <v>0</v>
      </c>
      <c r="K23" s="131">
        <v>0.08317965</v>
      </c>
      <c r="L23" s="131">
        <v>0</v>
      </c>
      <c r="N23" s="131">
        <v>0</v>
      </c>
      <c r="O23" s="131">
        <v>0.08317965</v>
      </c>
      <c r="P23" s="131">
        <v>0</v>
      </c>
      <c r="R23" s="131">
        <v>0</v>
      </c>
      <c r="S23" s="131">
        <v>0.08317965</v>
      </c>
      <c r="T23" s="131">
        <v>0</v>
      </c>
      <c r="V23" s="131">
        <v>0</v>
      </c>
      <c r="W23" s="132">
        <v>0.08317965</v>
      </c>
      <c r="X23" s="132">
        <v>0</v>
      </c>
    </row>
    <row r="24" spans="1:24" ht="12.75">
      <c r="A24" s="130">
        <f t="shared" si="0"/>
        <v>39011</v>
      </c>
      <c r="B24" s="131">
        <v>0</v>
      </c>
      <c r="C24" s="131">
        <v>0.06372728</v>
      </c>
      <c r="D24" s="131">
        <v>0</v>
      </c>
      <c r="F24" s="131">
        <v>0</v>
      </c>
      <c r="G24" s="131">
        <v>0.06372728</v>
      </c>
      <c r="H24" s="131">
        <v>0</v>
      </c>
      <c r="J24" s="131">
        <v>0</v>
      </c>
      <c r="K24" s="131">
        <v>0.06372728</v>
      </c>
      <c r="L24" s="131">
        <v>0</v>
      </c>
      <c r="N24" s="131">
        <v>0</v>
      </c>
      <c r="O24" s="131">
        <v>0.06372728</v>
      </c>
      <c r="P24" s="131">
        <v>0</v>
      </c>
      <c r="R24" s="131">
        <v>0</v>
      </c>
      <c r="S24" s="131">
        <v>0.06372728</v>
      </c>
      <c r="T24" s="131">
        <v>0</v>
      </c>
      <c r="V24" s="131">
        <v>0</v>
      </c>
      <c r="W24" s="132">
        <v>0.06372728</v>
      </c>
      <c r="X24" s="132">
        <v>0</v>
      </c>
    </row>
    <row r="25" spans="1:24" ht="12.75">
      <c r="A25" s="130">
        <f t="shared" si="0"/>
        <v>39042</v>
      </c>
      <c r="B25" s="131">
        <v>0</v>
      </c>
      <c r="C25" s="131">
        <v>0.05379836</v>
      </c>
      <c r="D25" s="131">
        <v>0</v>
      </c>
      <c r="F25" s="131">
        <v>0</v>
      </c>
      <c r="G25" s="131">
        <v>0.05379836</v>
      </c>
      <c r="H25" s="131">
        <v>0</v>
      </c>
      <c r="J25" s="131">
        <v>0</v>
      </c>
      <c r="K25" s="131">
        <v>0.05379836</v>
      </c>
      <c r="L25" s="131">
        <v>0</v>
      </c>
      <c r="N25" s="131">
        <v>0</v>
      </c>
      <c r="O25" s="131">
        <v>0.05379836</v>
      </c>
      <c r="P25" s="131">
        <v>0</v>
      </c>
      <c r="R25" s="131">
        <v>0</v>
      </c>
      <c r="S25" s="131">
        <v>0.05379836</v>
      </c>
      <c r="T25" s="131">
        <v>0</v>
      </c>
      <c r="V25" s="131">
        <v>0</v>
      </c>
      <c r="W25" s="132">
        <v>0.05379836</v>
      </c>
      <c r="X25" s="132">
        <v>0</v>
      </c>
    </row>
    <row r="26" spans="1:24" ht="12.75">
      <c r="A26" s="130">
        <f t="shared" si="0"/>
        <v>39072</v>
      </c>
      <c r="B26" s="131">
        <v>0</v>
      </c>
      <c r="C26" s="131">
        <v>0.04343637</v>
      </c>
      <c r="D26" s="131">
        <v>0</v>
      </c>
      <c r="F26" s="131">
        <v>0</v>
      </c>
      <c r="G26" s="131">
        <v>0.04343637</v>
      </c>
      <c r="H26" s="131">
        <v>0</v>
      </c>
      <c r="J26" s="131">
        <v>0</v>
      </c>
      <c r="K26" s="131">
        <v>0.04343637</v>
      </c>
      <c r="L26" s="131">
        <v>0</v>
      </c>
      <c r="N26" s="131">
        <v>0</v>
      </c>
      <c r="O26" s="131">
        <v>0.04343637</v>
      </c>
      <c r="P26" s="131">
        <v>0</v>
      </c>
      <c r="R26" s="131">
        <v>0</v>
      </c>
      <c r="S26" s="131">
        <v>0.04343637</v>
      </c>
      <c r="T26" s="131">
        <v>0</v>
      </c>
      <c r="V26" s="131">
        <v>0</v>
      </c>
      <c r="W26" s="132">
        <v>0.04343637</v>
      </c>
      <c r="X26" s="132">
        <v>0</v>
      </c>
    </row>
    <row r="27" spans="1:24" ht="12.75">
      <c r="A27" s="130">
        <f t="shared" si="0"/>
        <v>39103</v>
      </c>
      <c r="B27" s="131">
        <v>0</v>
      </c>
      <c r="C27" s="131">
        <v>0.03377193</v>
      </c>
      <c r="D27" s="131">
        <v>0</v>
      </c>
      <c r="F27" s="131">
        <v>0</v>
      </c>
      <c r="G27" s="131">
        <v>0.03377193</v>
      </c>
      <c r="H27" s="131">
        <v>0</v>
      </c>
      <c r="J27" s="131">
        <v>0</v>
      </c>
      <c r="K27" s="131">
        <v>0.03377193</v>
      </c>
      <c r="L27" s="131">
        <v>0</v>
      </c>
      <c r="N27" s="131">
        <v>0</v>
      </c>
      <c r="O27" s="131">
        <v>0.03377193</v>
      </c>
      <c r="P27" s="131">
        <v>0</v>
      </c>
      <c r="R27" s="131">
        <v>0</v>
      </c>
      <c r="S27" s="131">
        <v>0.03377193</v>
      </c>
      <c r="T27" s="131">
        <v>0</v>
      </c>
      <c r="V27" s="131">
        <v>0</v>
      </c>
      <c r="W27" s="132">
        <v>0.03377193</v>
      </c>
      <c r="X27" s="132">
        <v>0</v>
      </c>
    </row>
    <row r="28" spans="1:24" ht="12.75">
      <c r="A28" s="130">
        <f t="shared" si="0"/>
        <v>39134</v>
      </c>
      <c r="B28" s="131">
        <v>0</v>
      </c>
      <c r="C28" s="131">
        <v>0.04509511</v>
      </c>
      <c r="D28" s="131">
        <v>0</v>
      </c>
      <c r="F28" s="131">
        <v>0</v>
      </c>
      <c r="G28" s="131">
        <v>0.04509511</v>
      </c>
      <c r="H28" s="131">
        <v>0</v>
      </c>
      <c r="J28" s="131">
        <v>0</v>
      </c>
      <c r="K28" s="131">
        <v>0.04509511</v>
      </c>
      <c r="L28" s="131">
        <v>0</v>
      </c>
      <c r="N28" s="131">
        <v>0</v>
      </c>
      <c r="O28" s="131">
        <v>0.04509511</v>
      </c>
      <c r="P28" s="131">
        <v>0</v>
      </c>
      <c r="R28" s="131">
        <v>0</v>
      </c>
      <c r="S28" s="131">
        <v>0.04509511</v>
      </c>
      <c r="T28" s="131">
        <v>0</v>
      </c>
      <c r="V28" s="131">
        <v>0</v>
      </c>
      <c r="W28" s="132">
        <v>0.04509511</v>
      </c>
      <c r="X28" s="132">
        <v>0</v>
      </c>
    </row>
    <row r="29" spans="1:24" ht="12.75">
      <c r="A29" s="130">
        <f t="shared" si="0"/>
        <v>39162</v>
      </c>
      <c r="B29" s="131">
        <v>0</v>
      </c>
      <c r="C29" s="131">
        <v>0.03174143</v>
      </c>
      <c r="D29" s="131">
        <v>0</v>
      </c>
      <c r="F29" s="131">
        <v>0</v>
      </c>
      <c r="G29" s="131">
        <v>0.03174143</v>
      </c>
      <c r="H29" s="131">
        <v>0</v>
      </c>
      <c r="J29" s="131">
        <v>0</v>
      </c>
      <c r="K29" s="131">
        <v>0.03174143</v>
      </c>
      <c r="L29" s="131">
        <v>0</v>
      </c>
      <c r="N29" s="131">
        <v>0</v>
      </c>
      <c r="O29" s="131">
        <v>0.03174143</v>
      </c>
      <c r="P29" s="131">
        <v>0</v>
      </c>
      <c r="R29" s="131">
        <v>0</v>
      </c>
      <c r="S29" s="131">
        <v>0.03174143</v>
      </c>
      <c r="T29" s="131">
        <v>0</v>
      </c>
      <c r="V29" s="131">
        <v>0</v>
      </c>
      <c r="W29" s="132">
        <v>0.03174143</v>
      </c>
      <c r="X29" s="132">
        <v>0</v>
      </c>
    </row>
    <row r="30" spans="1:24" ht="12.75">
      <c r="A30" s="130">
        <f t="shared" si="0"/>
        <v>39193</v>
      </c>
      <c r="B30" s="131">
        <v>0</v>
      </c>
      <c r="C30" s="131">
        <v>0.02869126</v>
      </c>
      <c r="D30" s="131">
        <v>0</v>
      </c>
      <c r="F30" s="131">
        <v>0</v>
      </c>
      <c r="G30" s="131">
        <v>0.02869126</v>
      </c>
      <c r="H30" s="131">
        <v>0</v>
      </c>
      <c r="J30" s="131">
        <v>0</v>
      </c>
      <c r="K30" s="131">
        <v>0.02869126</v>
      </c>
      <c r="L30" s="131">
        <v>0</v>
      </c>
      <c r="N30" s="131">
        <v>0</v>
      </c>
      <c r="O30" s="131">
        <v>0.02869126</v>
      </c>
      <c r="P30" s="131">
        <v>0</v>
      </c>
      <c r="R30" s="131">
        <v>0</v>
      </c>
      <c r="S30" s="131">
        <v>0.02869126</v>
      </c>
      <c r="T30" s="131">
        <v>0</v>
      </c>
      <c r="V30" s="131">
        <v>0</v>
      </c>
      <c r="W30" s="132">
        <v>0.02869126</v>
      </c>
      <c r="X30" s="132">
        <v>0</v>
      </c>
    </row>
    <row r="31" spans="1:24" ht="12.75">
      <c r="A31" s="130">
        <f t="shared" si="0"/>
        <v>39223</v>
      </c>
      <c r="B31" s="131">
        <v>0</v>
      </c>
      <c r="C31" s="131">
        <v>0.02817462</v>
      </c>
      <c r="D31" s="131">
        <v>0</v>
      </c>
      <c r="F31" s="131">
        <v>0</v>
      </c>
      <c r="G31" s="131">
        <v>0.02817462</v>
      </c>
      <c r="H31" s="131">
        <v>0</v>
      </c>
      <c r="J31" s="131">
        <v>0</v>
      </c>
      <c r="K31" s="131">
        <v>0.02817462</v>
      </c>
      <c r="L31" s="131">
        <v>0</v>
      </c>
      <c r="N31" s="131">
        <v>0</v>
      </c>
      <c r="O31" s="131">
        <v>0.02817462</v>
      </c>
      <c r="P31" s="131">
        <v>0</v>
      </c>
      <c r="R31" s="131">
        <v>0</v>
      </c>
      <c r="S31" s="131">
        <v>0.02817462</v>
      </c>
      <c r="T31" s="131">
        <v>0</v>
      </c>
      <c r="V31" s="131">
        <v>0</v>
      </c>
      <c r="W31" s="132">
        <v>0.02817462</v>
      </c>
      <c r="X31" s="132">
        <v>0</v>
      </c>
    </row>
    <row r="32" spans="1:24" ht="12.75">
      <c r="A32" s="130">
        <f t="shared" si="0"/>
        <v>39254</v>
      </c>
      <c r="B32" s="131">
        <v>0</v>
      </c>
      <c r="C32" s="131">
        <v>0.02677731</v>
      </c>
      <c r="D32" s="131">
        <v>0</v>
      </c>
      <c r="F32" s="131">
        <v>0</v>
      </c>
      <c r="G32" s="131">
        <v>0.02677731</v>
      </c>
      <c r="H32" s="131">
        <v>0</v>
      </c>
      <c r="J32" s="131">
        <v>0</v>
      </c>
      <c r="K32" s="131">
        <v>0.02677731</v>
      </c>
      <c r="L32" s="131">
        <v>0</v>
      </c>
      <c r="N32" s="131">
        <v>0</v>
      </c>
      <c r="O32" s="131">
        <v>0.02677731</v>
      </c>
      <c r="P32" s="131">
        <v>0</v>
      </c>
      <c r="R32" s="131">
        <v>0</v>
      </c>
      <c r="S32" s="131">
        <v>0.02677731</v>
      </c>
      <c r="T32" s="131">
        <v>0</v>
      </c>
      <c r="V32" s="131">
        <v>0</v>
      </c>
      <c r="W32" s="132">
        <v>0.02677731</v>
      </c>
      <c r="X32" s="132">
        <v>0</v>
      </c>
    </row>
    <row r="33" spans="1:24" ht="12.75">
      <c r="A33" s="130">
        <f t="shared" si="0"/>
        <v>39284</v>
      </c>
      <c r="B33" s="131">
        <v>0</v>
      </c>
      <c r="C33" s="131">
        <v>0.02366445</v>
      </c>
      <c r="D33" s="131">
        <v>0</v>
      </c>
      <c r="F33" s="131">
        <v>0</v>
      </c>
      <c r="G33" s="131">
        <v>0.02366445</v>
      </c>
      <c r="H33" s="131">
        <v>0</v>
      </c>
      <c r="J33" s="131">
        <v>0</v>
      </c>
      <c r="K33" s="131">
        <v>0.02366445</v>
      </c>
      <c r="L33" s="131">
        <v>0</v>
      </c>
      <c r="N33" s="131">
        <v>0</v>
      </c>
      <c r="O33" s="131">
        <v>0.02366445</v>
      </c>
      <c r="P33" s="131">
        <v>0</v>
      </c>
      <c r="R33" s="131">
        <v>0</v>
      </c>
      <c r="S33" s="131">
        <v>0.02366445</v>
      </c>
      <c r="T33" s="131">
        <v>0</v>
      </c>
      <c r="V33" s="131">
        <v>0</v>
      </c>
      <c r="W33" s="132">
        <v>0.02366445</v>
      </c>
      <c r="X33" s="132">
        <v>0</v>
      </c>
    </row>
    <row r="34" spans="1:24" ht="12.75">
      <c r="A34" s="130">
        <f t="shared" si="0"/>
        <v>39315</v>
      </c>
      <c r="B34" s="131">
        <v>0</v>
      </c>
      <c r="C34" s="131">
        <v>0.02149095</v>
      </c>
      <c r="D34" s="131">
        <v>0</v>
      </c>
      <c r="F34" s="131">
        <v>0</v>
      </c>
      <c r="G34" s="131">
        <v>0.02149095</v>
      </c>
      <c r="H34" s="131">
        <v>0</v>
      </c>
      <c r="J34" s="131">
        <v>0</v>
      </c>
      <c r="K34" s="131">
        <v>0.02149095</v>
      </c>
      <c r="L34" s="131">
        <v>0</v>
      </c>
      <c r="N34" s="131">
        <v>0</v>
      </c>
      <c r="O34" s="131">
        <v>0.02149095</v>
      </c>
      <c r="P34" s="131">
        <v>0</v>
      </c>
      <c r="R34" s="131">
        <v>0</v>
      </c>
      <c r="S34" s="131">
        <v>0.02149095</v>
      </c>
      <c r="T34" s="131">
        <v>0</v>
      </c>
      <c r="V34" s="131">
        <v>0</v>
      </c>
      <c r="W34" s="132">
        <v>0.02149095</v>
      </c>
      <c r="X34" s="132">
        <v>0</v>
      </c>
    </row>
    <row r="35" spans="1:24" ht="12.75">
      <c r="A35" s="130">
        <f t="shared" si="0"/>
        <v>39346</v>
      </c>
      <c r="B35" s="131">
        <v>0</v>
      </c>
      <c r="C35" s="131">
        <v>0.02280784</v>
      </c>
      <c r="D35" s="131">
        <v>0</v>
      </c>
      <c r="F35" s="131">
        <v>0</v>
      </c>
      <c r="G35" s="131">
        <v>0.02280784</v>
      </c>
      <c r="H35" s="131">
        <v>0</v>
      </c>
      <c r="J35" s="131">
        <v>0</v>
      </c>
      <c r="K35" s="131">
        <v>0.02280784</v>
      </c>
      <c r="L35" s="131">
        <v>0</v>
      </c>
      <c r="N35" s="131">
        <v>0</v>
      </c>
      <c r="O35" s="131">
        <v>0.02280784</v>
      </c>
      <c r="P35" s="131">
        <v>0</v>
      </c>
      <c r="R35" s="131">
        <v>0</v>
      </c>
      <c r="S35" s="131">
        <v>0.02280784</v>
      </c>
      <c r="T35" s="131">
        <v>0</v>
      </c>
      <c r="V35" s="131">
        <v>0</v>
      </c>
      <c r="W35" s="132">
        <v>0.02280784</v>
      </c>
      <c r="X35" s="132">
        <v>0</v>
      </c>
    </row>
    <row r="36" spans="1:24" ht="12.75">
      <c r="A36" s="130">
        <f aca="true" t="shared" si="1" ref="A36:A67">+_XLL.FECHA.MES(A35,1)</f>
        <v>39376</v>
      </c>
      <c r="B36" s="131">
        <v>0</v>
      </c>
      <c r="C36" s="131">
        <v>0.01979971</v>
      </c>
      <c r="D36" s="131">
        <v>0</v>
      </c>
      <c r="F36" s="131">
        <v>0</v>
      </c>
      <c r="G36" s="131">
        <v>0.01979971</v>
      </c>
      <c r="H36" s="131">
        <v>0</v>
      </c>
      <c r="J36" s="131">
        <v>0</v>
      </c>
      <c r="K36" s="131">
        <v>0.01979971</v>
      </c>
      <c r="L36" s="131">
        <v>0</v>
      </c>
      <c r="N36" s="131">
        <v>0</v>
      </c>
      <c r="O36" s="131">
        <v>0.01979971</v>
      </c>
      <c r="P36" s="131">
        <v>0</v>
      </c>
      <c r="R36" s="131">
        <v>0</v>
      </c>
      <c r="S36" s="131">
        <v>0.01979971</v>
      </c>
      <c r="T36" s="131">
        <v>0</v>
      </c>
      <c r="V36" s="131">
        <v>0</v>
      </c>
      <c r="W36" s="132">
        <v>0.01979971</v>
      </c>
      <c r="X36" s="132">
        <v>0</v>
      </c>
    </row>
    <row r="37" spans="1:24" ht="12.75">
      <c r="A37" s="130">
        <f t="shared" si="1"/>
        <v>39407</v>
      </c>
      <c r="B37" s="131">
        <v>0</v>
      </c>
      <c r="C37" s="131">
        <v>0.01690415</v>
      </c>
      <c r="D37" s="131">
        <v>0</v>
      </c>
      <c r="F37" s="131">
        <v>0</v>
      </c>
      <c r="G37" s="131">
        <v>0.01690415</v>
      </c>
      <c r="H37" s="131">
        <v>0</v>
      </c>
      <c r="J37" s="131">
        <v>0</v>
      </c>
      <c r="K37" s="131">
        <v>0.01690415</v>
      </c>
      <c r="L37" s="131">
        <v>0</v>
      </c>
      <c r="N37" s="131">
        <v>0</v>
      </c>
      <c r="O37" s="131">
        <v>0.01690415</v>
      </c>
      <c r="P37" s="131">
        <v>0</v>
      </c>
      <c r="R37" s="131">
        <v>0</v>
      </c>
      <c r="S37" s="131">
        <v>0.01690415</v>
      </c>
      <c r="T37" s="131">
        <v>0</v>
      </c>
      <c r="V37" s="131">
        <v>0</v>
      </c>
      <c r="W37" s="132">
        <v>0.01690415</v>
      </c>
      <c r="X37" s="132">
        <v>0</v>
      </c>
    </row>
    <row r="38" spans="1:24" ht="12.75">
      <c r="A38" s="130">
        <f t="shared" si="1"/>
        <v>39437</v>
      </c>
      <c r="B38" s="131">
        <v>0</v>
      </c>
      <c r="C38" s="131">
        <v>0.02284973</v>
      </c>
      <c r="D38" s="131">
        <v>0</v>
      </c>
      <c r="F38" s="131">
        <v>0</v>
      </c>
      <c r="G38" s="131">
        <v>0.02284973</v>
      </c>
      <c r="H38" s="131">
        <v>0</v>
      </c>
      <c r="J38" s="131">
        <v>0</v>
      </c>
      <c r="K38" s="131">
        <v>0.02284973</v>
      </c>
      <c r="L38" s="131">
        <v>0</v>
      </c>
      <c r="N38" s="131">
        <v>0</v>
      </c>
      <c r="O38" s="131">
        <v>0.02284973</v>
      </c>
      <c r="P38" s="131">
        <v>0</v>
      </c>
      <c r="R38" s="131">
        <v>0</v>
      </c>
      <c r="S38" s="131">
        <v>0.02284973</v>
      </c>
      <c r="T38" s="131">
        <v>0</v>
      </c>
      <c r="V38" s="131">
        <v>0</v>
      </c>
      <c r="W38" s="132">
        <v>0.02284973</v>
      </c>
      <c r="X38" s="132">
        <v>0</v>
      </c>
    </row>
    <row r="39" spans="1:24" ht="12.75">
      <c r="A39" s="130">
        <f t="shared" si="1"/>
        <v>39468</v>
      </c>
      <c r="B39" s="131">
        <v>0</v>
      </c>
      <c r="C39" s="131">
        <v>0.01601297</v>
      </c>
      <c r="D39" s="131">
        <v>0</v>
      </c>
      <c r="F39" s="131">
        <v>0</v>
      </c>
      <c r="G39" s="131">
        <v>0.01601297</v>
      </c>
      <c r="H39" s="131">
        <v>0</v>
      </c>
      <c r="J39" s="131">
        <v>0</v>
      </c>
      <c r="K39" s="131">
        <v>0.01601297</v>
      </c>
      <c r="L39" s="131">
        <v>0</v>
      </c>
      <c r="N39" s="131">
        <v>0</v>
      </c>
      <c r="O39" s="131">
        <v>0.01601297</v>
      </c>
      <c r="P39" s="131">
        <v>0</v>
      </c>
      <c r="R39" s="131">
        <v>0</v>
      </c>
      <c r="S39" s="131">
        <v>0.01601297</v>
      </c>
      <c r="T39" s="131">
        <v>0</v>
      </c>
      <c r="V39" s="131">
        <v>0</v>
      </c>
      <c r="W39" s="132">
        <v>0.01601297</v>
      </c>
      <c r="X39" s="132">
        <v>0</v>
      </c>
    </row>
    <row r="40" spans="1:24" ht="12.75">
      <c r="A40" s="130">
        <f t="shared" si="1"/>
        <v>39499</v>
      </c>
      <c r="B40" s="131">
        <v>0</v>
      </c>
      <c r="C40" s="131">
        <v>0.02216636</v>
      </c>
      <c r="D40" s="131">
        <v>0</v>
      </c>
      <c r="F40" s="131">
        <v>0</v>
      </c>
      <c r="G40" s="131">
        <v>0.02216636</v>
      </c>
      <c r="H40" s="131">
        <v>0</v>
      </c>
      <c r="J40" s="131">
        <v>0</v>
      </c>
      <c r="K40" s="131">
        <v>0.02216636</v>
      </c>
      <c r="L40" s="131">
        <v>0</v>
      </c>
      <c r="N40" s="131">
        <v>0</v>
      </c>
      <c r="O40" s="131">
        <v>0.02216636</v>
      </c>
      <c r="P40" s="131">
        <v>0</v>
      </c>
      <c r="R40" s="131">
        <v>0</v>
      </c>
      <c r="S40" s="131">
        <v>0.02216636</v>
      </c>
      <c r="T40" s="131">
        <v>0</v>
      </c>
      <c r="V40" s="131">
        <v>0</v>
      </c>
      <c r="W40" s="132">
        <v>0.02216636</v>
      </c>
      <c r="X40" s="132">
        <v>0</v>
      </c>
    </row>
    <row r="41" spans="1:24" ht="12.75">
      <c r="A41" s="130">
        <f t="shared" si="1"/>
        <v>39528</v>
      </c>
      <c r="B41" s="131">
        <v>0</v>
      </c>
      <c r="C41" s="131">
        <v>0.01727974</v>
      </c>
      <c r="D41" s="131">
        <v>0</v>
      </c>
      <c r="F41" s="131">
        <v>0</v>
      </c>
      <c r="G41" s="131">
        <v>0.01727974</v>
      </c>
      <c r="H41" s="131">
        <v>0</v>
      </c>
      <c r="J41" s="131">
        <v>0</v>
      </c>
      <c r="K41" s="131">
        <v>0.01727974</v>
      </c>
      <c r="L41" s="131">
        <v>0</v>
      </c>
      <c r="N41" s="131">
        <v>0</v>
      </c>
      <c r="O41" s="131">
        <v>0.01727974</v>
      </c>
      <c r="P41" s="131">
        <v>0</v>
      </c>
      <c r="R41" s="131">
        <v>0</v>
      </c>
      <c r="S41" s="131">
        <v>0.01727974</v>
      </c>
      <c r="T41" s="131">
        <v>0</v>
      </c>
      <c r="V41" s="131">
        <v>0</v>
      </c>
      <c r="W41" s="132">
        <v>0.01727974</v>
      </c>
      <c r="X41" s="132">
        <v>0</v>
      </c>
    </row>
    <row r="42" spans="1:24" ht="12.75">
      <c r="A42" s="130">
        <f t="shared" si="1"/>
        <v>39559</v>
      </c>
      <c r="B42" s="131">
        <v>0</v>
      </c>
      <c r="C42" s="131">
        <v>0.01644117</v>
      </c>
      <c r="D42" s="131">
        <v>0</v>
      </c>
      <c r="F42" s="131">
        <v>0</v>
      </c>
      <c r="G42" s="131">
        <v>0.01644117</v>
      </c>
      <c r="H42" s="131">
        <v>0</v>
      </c>
      <c r="J42" s="131">
        <v>0</v>
      </c>
      <c r="K42" s="131">
        <v>0.01644117</v>
      </c>
      <c r="L42" s="131">
        <v>0</v>
      </c>
      <c r="N42" s="131">
        <v>0</v>
      </c>
      <c r="O42" s="131">
        <v>0.01644117</v>
      </c>
      <c r="P42" s="131">
        <v>0</v>
      </c>
      <c r="R42" s="131">
        <v>0</v>
      </c>
      <c r="S42" s="131">
        <v>0.01644117</v>
      </c>
      <c r="T42" s="131">
        <v>0</v>
      </c>
      <c r="V42" s="131">
        <v>0</v>
      </c>
      <c r="W42" s="132">
        <v>0.01644117</v>
      </c>
      <c r="X42" s="132">
        <v>0</v>
      </c>
    </row>
    <row r="43" spans="1:24" ht="12.75">
      <c r="A43" s="130">
        <f t="shared" si="1"/>
        <v>39589</v>
      </c>
      <c r="B43" s="131">
        <v>0</v>
      </c>
      <c r="C43" s="131">
        <v>0.01672738</v>
      </c>
      <c r="D43" s="131">
        <v>0</v>
      </c>
      <c r="F43" s="131">
        <v>0</v>
      </c>
      <c r="G43" s="131">
        <v>0.01672738</v>
      </c>
      <c r="H43" s="131">
        <v>0</v>
      </c>
      <c r="J43" s="131">
        <v>0</v>
      </c>
      <c r="K43" s="131">
        <v>0.01672738</v>
      </c>
      <c r="L43" s="131">
        <v>0</v>
      </c>
      <c r="N43" s="131">
        <v>0</v>
      </c>
      <c r="O43" s="131">
        <v>0.01672738</v>
      </c>
      <c r="P43" s="131">
        <v>0</v>
      </c>
      <c r="R43" s="131">
        <v>0</v>
      </c>
      <c r="S43" s="131">
        <v>0.01672738</v>
      </c>
      <c r="T43" s="131">
        <v>0</v>
      </c>
      <c r="V43" s="131">
        <v>0</v>
      </c>
      <c r="W43" s="132">
        <v>0.01672738</v>
      </c>
      <c r="X43" s="132">
        <v>0</v>
      </c>
    </row>
    <row r="44" spans="1:24" ht="12.75">
      <c r="A44" s="130">
        <f t="shared" si="1"/>
        <v>39620</v>
      </c>
      <c r="B44" s="131">
        <v>0</v>
      </c>
      <c r="C44" s="131">
        <v>0.01811314</v>
      </c>
      <c r="D44" s="131">
        <v>0</v>
      </c>
      <c r="F44" s="131">
        <v>0</v>
      </c>
      <c r="G44" s="131">
        <v>0.01811314</v>
      </c>
      <c r="H44" s="131">
        <v>0</v>
      </c>
      <c r="J44" s="131">
        <v>0</v>
      </c>
      <c r="K44" s="131">
        <v>0.01811314</v>
      </c>
      <c r="L44" s="131">
        <v>0</v>
      </c>
      <c r="N44" s="131">
        <v>0</v>
      </c>
      <c r="O44" s="131">
        <v>0.01811314</v>
      </c>
      <c r="P44" s="131">
        <v>0</v>
      </c>
      <c r="R44" s="131">
        <v>0</v>
      </c>
      <c r="S44" s="131">
        <v>0.01811314</v>
      </c>
      <c r="T44" s="131">
        <v>0</v>
      </c>
      <c r="V44" s="131">
        <v>0</v>
      </c>
      <c r="W44" s="132">
        <v>0.01811314</v>
      </c>
      <c r="X44" s="132">
        <v>0</v>
      </c>
    </row>
    <row r="45" spans="1:24" ht="12.75">
      <c r="A45" s="130">
        <f t="shared" si="1"/>
        <v>39650</v>
      </c>
      <c r="B45" s="131">
        <v>0</v>
      </c>
      <c r="C45" s="131">
        <v>0.0165739</v>
      </c>
      <c r="D45" s="131">
        <v>0</v>
      </c>
      <c r="F45" s="131">
        <v>0</v>
      </c>
      <c r="G45" s="131">
        <v>0.0165739</v>
      </c>
      <c r="H45" s="131">
        <v>0</v>
      </c>
      <c r="J45" s="131">
        <v>0</v>
      </c>
      <c r="K45" s="131">
        <v>0.0165739</v>
      </c>
      <c r="L45" s="131">
        <v>0</v>
      </c>
      <c r="N45" s="131">
        <v>0</v>
      </c>
      <c r="O45" s="131">
        <v>0.0165739</v>
      </c>
      <c r="P45" s="131">
        <v>0</v>
      </c>
      <c r="R45" s="131">
        <v>0</v>
      </c>
      <c r="S45" s="131">
        <v>0.0165739</v>
      </c>
      <c r="T45" s="131">
        <v>0</v>
      </c>
      <c r="V45" s="131">
        <v>0</v>
      </c>
      <c r="W45" s="132">
        <v>0.0165739</v>
      </c>
      <c r="X45" s="132">
        <v>0</v>
      </c>
    </row>
    <row r="46" spans="1:24" ht="12.75">
      <c r="A46" s="130">
        <f t="shared" si="1"/>
        <v>39681</v>
      </c>
      <c r="B46" s="131">
        <v>0</v>
      </c>
      <c r="C46" s="131">
        <v>0.01698029</v>
      </c>
      <c r="D46" s="131">
        <v>0</v>
      </c>
      <c r="F46" s="131">
        <v>0</v>
      </c>
      <c r="G46" s="131">
        <v>0.01698029</v>
      </c>
      <c r="H46" s="131">
        <v>0</v>
      </c>
      <c r="J46" s="131">
        <v>0</v>
      </c>
      <c r="K46" s="131">
        <v>0.01698029</v>
      </c>
      <c r="L46" s="131">
        <v>0</v>
      </c>
      <c r="N46" s="131">
        <v>0</v>
      </c>
      <c r="O46" s="131">
        <v>0.01698029</v>
      </c>
      <c r="P46" s="131">
        <v>0</v>
      </c>
      <c r="R46" s="131">
        <v>0</v>
      </c>
      <c r="S46" s="131">
        <v>0.01698029</v>
      </c>
      <c r="T46" s="131">
        <v>0</v>
      </c>
      <c r="V46" s="131">
        <v>0</v>
      </c>
      <c r="W46" s="132">
        <v>0.01698029</v>
      </c>
      <c r="X46" s="132">
        <v>0</v>
      </c>
    </row>
    <row r="47" spans="1:24" ht="12.75">
      <c r="A47" s="130">
        <f t="shared" si="1"/>
        <v>39712</v>
      </c>
      <c r="B47" s="131">
        <v>0</v>
      </c>
      <c r="C47" s="131">
        <v>0.01662865</v>
      </c>
      <c r="D47" s="131">
        <v>0</v>
      </c>
      <c r="F47" s="131">
        <v>0</v>
      </c>
      <c r="G47" s="131">
        <v>0.01662865</v>
      </c>
      <c r="H47" s="131">
        <v>0</v>
      </c>
      <c r="J47" s="131">
        <v>0</v>
      </c>
      <c r="K47" s="131">
        <v>0.01662865</v>
      </c>
      <c r="L47" s="131">
        <v>0</v>
      </c>
      <c r="N47" s="131">
        <v>0</v>
      </c>
      <c r="O47" s="131">
        <v>0.01662865</v>
      </c>
      <c r="P47" s="131">
        <v>0</v>
      </c>
      <c r="R47" s="131">
        <v>0</v>
      </c>
      <c r="S47" s="131">
        <v>0.01662865</v>
      </c>
      <c r="T47" s="131">
        <v>0</v>
      </c>
      <c r="V47" s="131">
        <v>0</v>
      </c>
      <c r="W47" s="132">
        <v>0.01662865</v>
      </c>
      <c r="X47" s="132">
        <v>0</v>
      </c>
    </row>
    <row r="48" spans="1:24" ht="12.75">
      <c r="A48" s="130">
        <f t="shared" si="1"/>
        <v>39742</v>
      </c>
      <c r="B48" s="131">
        <v>0</v>
      </c>
      <c r="C48" s="131">
        <v>0.01502836</v>
      </c>
      <c r="D48" s="131">
        <v>0</v>
      </c>
      <c r="F48" s="131">
        <v>0</v>
      </c>
      <c r="G48" s="131">
        <v>0.01502836</v>
      </c>
      <c r="H48" s="131">
        <v>0</v>
      </c>
      <c r="J48" s="131">
        <v>0</v>
      </c>
      <c r="K48" s="131">
        <v>0.01502836</v>
      </c>
      <c r="L48" s="131">
        <v>0</v>
      </c>
      <c r="N48" s="131">
        <v>0</v>
      </c>
      <c r="O48" s="131">
        <v>0.01502836</v>
      </c>
      <c r="P48" s="131">
        <v>0</v>
      </c>
      <c r="R48" s="131">
        <v>0</v>
      </c>
      <c r="S48" s="131">
        <v>0.01502836</v>
      </c>
      <c r="T48" s="131">
        <v>0</v>
      </c>
      <c r="V48" s="131">
        <v>0</v>
      </c>
      <c r="W48" s="132">
        <v>0.01502836</v>
      </c>
      <c r="X48" s="132">
        <v>0</v>
      </c>
    </row>
    <row r="49" spans="1:24" ht="12.75">
      <c r="A49" s="130">
        <f t="shared" si="1"/>
        <v>39773</v>
      </c>
      <c r="B49" s="131">
        <v>0</v>
      </c>
      <c r="C49" s="131">
        <v>0.01606962</v>
      </c>
      <c r="D49" s="131">
        <v>0</v>
      </c>
      <c r="F49" s="131">
        <v>0</v>
      </c>
      <c r="G49" s="131">
        <v>0.01606962</v>
      </c>
      <c r="H49" s="131">
        <v>0</v>
      </c>
      <c r="J49" s="131">
        <v>0</v>
      </c>
      <c r="K49" s="131">
        <v>0.01606962</v>
      </c>
      <c r="L49" s="131">
        <v>0</v>
      </c>
      <c r="N49" s="131">
        <v>0</v>
      </c>
      <c r="O49" s="131">
        <v>0.01606962</v>
      </c>
      <c r="P49" s="131">
        <v>0</v>
      </c>
      <c r="R49" s="131">
        <v>0</v>
      </c>
      <c r="S49" s="131">
        <v>0.01606962</v>
      </c>
      <c r="T49" s="131">
        <v>0</v>
      </c>
      <c r="V49" s="131">
        <v>0</v>
      </c>
      <c r="W49" s="132">
        <v>0.01606962</v>
      </c>
      <c r="X49" s="132">
        <v>0</v>
      </c>
    </row>
    <row r="50" spans="1:24" ht="12.75">
      <c r="A50" s="130">
        <f t="shared" si="1"/>
        <v>39803</v>
      </c>
      <c r="B50" s="131">
        <v>0</v>
      </c>
      <c r="C50" s="131">
        <v>0.01304426</v>
      </c>
      <c r="D50" s="131">
        <v>0</v>
      </c>
      <c r="F50" s="131">
        <v>0</v>
      </c>
      <c r="G50" s="131">
        <v>0.01304426</v>
      </c>
      <c r="H50" s="131">
        <v>0</v>
      </c>
      <c r="J50" s="131">
        <v>0</v>
      </c>
      <c r="K50" s="131">
        <v>0.01304426</v>
      </c>
      <c r="L50" s="131">
        <v>0</v>
      </c>
      <c r="N50" s="131">
        <v>0</v>
      </c>
      <c r="O50" s="131">
        <v>0.01304426</v>
      </c>
      <c r="P50" s="131">
        <v>0</v>
      </c>
      <c r="R50" s="131">
        <v>0</v>
      </c>
      <c r="S50" s="131">
        <v>0.01304426</v>
      </c>
      <c r="T50" s="131">
        <v>0</v>
      </c>
      <c r="V50" s="131">
        <v>0</v>
      </c>
      <c r="W50" s="132">
        <v>0.01304426</v>
      </c>
      <c r="X50" s="132">
        <v>0</v>
      </c>
    </row>
    <row r="51" spans="1:24" ht="12.75">
      <c r="A51" s="130">
        <f t="shared" si="1"/>
        <v>39834</v>
      </c>
      <c r="B51" s="131">
        <v>0</v>
      </c>
      <c r="C51" s="131">
        <v>0.01266639</v>
      </c>
      <c r="D51" s="131">
        <v>0</v>
      </c>
      <c r="F51" s="131">
        <v>0</v>
      </c>
      <c r="G51" s="131">
        <v>0.01266639</v>
      </c>
      <c r="H51" s="131">
        <v>0</v>
      </c>
      <c r="J51" s="131">
        <v>0</v>
      </c>
      <c r="K51" s="131">
        <v>0.01266639</v>
      </c>
      <c r="L51" s="131">
        <v>0</v>
      </c>
      <c r="N51" s="131">
        <v>0</v>
      </c>
      <c r="O51" s="131">
        <v>0.01266639</v>
      </c>
      <c r="P51" s="131">
        <v>0</v>
      </c>
      <c r="R51" s="131">
        <v>0</v>
      </c>
      <c r="S51" s="131">
        <v>0.01266639</v>
      </c>
      <c r="T51" s="131">
        <v>0</v>
      </c>
      <c r="V51" s="131">
        <v>0</v>
      </c>
      <c r="W51" s="132">
        <v>0.01266639</v>
      </c>
      <c r="X51" s="132">
        <v>0</v>
      </c>
    </row>
    <row r="52" spans="1:24" ht="12.75">
      <c r="A52" s="130">
        <f t="shared" si="1"/>
        <v>39865</v>
      </c>
      <c r="B52" s="131">
        <v>0</v>
      </c>
      <c r="C52" s="131">
        <v>0.01358382</v>
      </c>
      <c r="D52" s="131">
        <v>0</v>
      </c>
      <c r="F52" s="131">
        <v>0</v>
      </c>
      <c r="G52" s="131">
        <v>0.01358382</v>
      </c>
      <c r="H52" s="131">
        <v>0</v>
      </c>
      <c r="J52" s="131">
        <v>0</v>
      </c>
      <c r="K52" s="131">
        <v>0.01358382</v>
      </c>
      <c r="L52" s="131">
        <v>0</v>
      </c>
      <c r="N52" s="131">
        <v>0</v>
      </c>
      <c r="O52" s="131">
        <v>0.01358382</v>
      </c>
      <c r="P52" s="131">
        <v>0</v>
      </c>
      <c r="R52" s="131">
        <v>0</v>
      </c>
      <c r="S52" s="131">
        <v>0.01358382</v>
      </c>
      <c r="T52" s="131">
        <v>0</v>
      </c>
      <c r="V52" s="131">
        <v>0</v>
      </c>
      <c r="W52" s="132">
        <v>0.01358382</v>
      </c>
      <c r="X52" s="132">
        <v>0</v>
      </c>
    </row>
    <row r="53" spans="1:24" ht="12.75">
      <c r="A53" s="130">
        <f t="shared" si="1"/>
        <v>39893</v>
      </c>
      <c r="B53" s="131">
        <v>0</v>
      </c>
      <c r="C53" s="131">
        <v>0.01344169</v>
      </c>
      <c r="D53" s="131">
        <v>0</v>
      </c>
      <c r="F53" s="131">
        <v>0</v>
      </c>
      <c r="G53" s="131">
        <v>0.01344169</v>
      </c>
      <c r="H53" s="131">
        <v>0</v>
      </c>
      <c r="J53" s="131">
        <v>0</v>
      </c>
      <c r="K53" s="131">
        <v>0.01344169</v>
      </c>
      <c r="L53" s="131">
        <v>0</v>
      </c>
      <c r="N53" s="131">
        <v>0</v>
      </c>
      <c r="O53" s="131">
        <v>0.01344169</v>
      </c>
      <c r="P53" s="131">
        <v>0</v>
      </c>
      <c r="R53" s="131">
        <v>0</v>
      </c>
      <c r="S53" s="131">
        <v>0.01344169</v>
      </c>
      <c r="T53" s="131">
        <v>0</v>
      </c>
      <c r="V53" s="131">
        <v>0</v>
      </c>
      <c r="W53" s="132">
        <v>0.01344169</v>
      </c>
      <c r="X53" s="132">
        <v>0</v>
      </c>
    </row>
    <row r="54" spans="1:24" ht="12.75">
      <c r="A54" s="130">
        <f t="shared" si="1"/>
        <v>39924</v>
      </c>
      <c r="B54" s="131">
        <v>0</v>
      </c>
      <c r="C54" s="131">
        <v>0.01068332</v>
      </c>
      <c r="D54" s="131">
        <v>0</v>
      </c>
      <c r="F54" s="131">
        <v>0</v>
      </c>
      <c r="G54" s="131">
        <v>0.01068332</v>
      </c>
      <c r="H54" s="131">
        <v>0</v>
      </c>
      <c r="J54" s="131">
        <v>0</v>
      </c>
      <c r="K54" s="131">
        <v>0.01068332</v>
      </c>
      <c r="L54" s="131">
        <v>0</v>
      </c>
      <c r="N54" s="131">
        <v>0</v>
      </c>
      <c r="O54" s="131">
        <v>0.01068332</v>
      </c>
      <c r="P54" s="131">
        <v>0</v>
      </c>
      <c r="R54" s="131">
        <v>0</v>
      </c>
      <c r="S54" s="131">
        <v>0.01068332</v>
      </c>
      <c r="T54" s="131">
        <v>0</v>
      </c>
      <c r="V54" s="131">
        <v>0</v>
      </c>
      <c r="W54" s="132">
        <v>0.01068332</v>
      </c>
      <c r="X54" s="132">
        <v>0</v>
      </c>
    </row>
    <row r="55" spans="1:24" ht="12.75">
      <c r="A55" s="130">
        <f t="shared" si="1"/>
        <v>39954</v>
      </c>
      <c r="B55" s="131">
        <v>0</v>
      </c>
      <c r="C55" s="131">
        <v>0.01275332</v>
      </c>
      <c r="D55" s="131">
        <v>0</v>
      </c>
      <c r="F55" s="131">
        <v>0</v>
      </c>
      <c r="G55" s="131">
        <v>0.01275332</v>
      </c>
      <c r="H55" s="131">
        <v>0</v>
      </c>
      <c r="J55" s="131">
        <v>0</v>
      </c>
      <c r="K55" s="131">
        <v>0.01275332</v>
      </c>
      <c r="L55" s="131">
        <v>0</v>
      </c>
      <c r="N55" s="131">
        <v>0</v>
      </c>
      <c r="O55" s="131">
        <v>0.01275332</v>
      </c>
      <c r="P55" s="131">
        <v>0</v>
      </c>
      <c r="R55" s="131">
        <v>0</v>
      </c>
      <c r="S55" s="131">
        <v>0.01275332</v>
      </c>
      <c r="T55" s="131">
        <v>0</v>
      </c>
      <c r="V55" s="131">
        <v>0</v>
      </c>
      <c r="W55" s="132">
        <v>0.01275332</v>
      </c>
      <c r="X55" s="132">
        <v>0</v>
      </c>
    </row>
    <row r="56" spans="1:24" ht="12.75">
      <c r="A56" s="130">
        <f t="shared" si="1"/>
        <v>39985</v>
      </c>
      <c r="B56" s="131">
        <v>0</v>
      </c>
      <c r="C56" s="131">
        <v>0.01249685</v>
      </c>
      <c r="D56" s="131">
        <v>0</v>
      </c>
      <c r="F56" s="131">
        <v>0</v>
      </c>
      <c r="G56" s="131">
        <v>0.01249685</v>
      </c>
      <c r="H56" s="131">
        <v>0</v>
      </c>
      <c r="J56" s="131">
        <v>0</v>
      </c>
      <c r="K56" s="131">
        <v>0.01249685</v>
      </c>
      <c r="L56" s="131">
        <v>0</v>
      </c>
      <c r="N56" s="131">
        <v>0</v>
      </c>
      <c r="O56" s="131">
        <v>0.01249685</v>
      </c>
      <c r="P56" s="131">
        <v>0</v>
      </c>
      <c r="R56" s="131">
        <v>0</v>
      </c>
      <c r="S56" s="131">
        <v>0.01249685</v>
      </c>
      <c r="T56" s="131">
        <v>0</v>
      </c>
      <c r="V56" s="131">
        <v>0</v>
      </c>
      <c r="W56" s="132">
        <v>0.01249685</v>
      </c>
      <c r="X56" s="132">
        <v>0</v>
      </c>
    </row>
    <row r="57" spans="1:24" ht="12.75">
      <c r="A57" s="130">
        <f t="shared" si="1"/>
        <v>40015</v>
      </c>
      <c r="B57" s="131">
        <v>0</v>
      </c>
      <c r="C57" s="131">
        <v>0.00764142</v>
      </c>
      <c r="D57" s="131">
        <v>0.0143404</v>
      </c>
      <c r="F57" s="131">
        <v>0</v>
      </c>
      <c r="G57" s="131">
        <v>0.00764142</v>
      </c>
      <c r="H57" s="131">
        <v>0.0143404</v>
      </c>
      <c r="J57" s="131">
        <v>0</v>
      </c>
      <c r="K57" s="131">
        <v>0.00764142</v>
      </c>
      <c r="L57" s="131">
        <v>0.0143404</v>
      </c>
      <c r="N57" s="131">
        <v>0</v>
      </c>
      <c r="O57" s="131">
        <v>0.00764142</v>
      </c>
      <c r="P57" s="131">
        <v>0.0143404</v>
      </c>
      <c r="R57" s="131">
        <v>0</v>
      </c>
      <c r="S57" s="131">
        <v>0.00764142</v>
      </c>
      <c r="T57" s="131">
        <v>0.0143404</v>
      </c>
      <c r="V57" s="131">
        <v>0</v>
      </c>
      <c r="W57" s="132">
        <v>0.00764142</v>
      </c>
      <c r="X57" s="132">
        <v>0.0143404</v>
      </c>
    </row>
    <row r="58" spans="1:24" ht="12.75">
      <c r="A58" s="130">
        <f t="shared" si="1"/>
        <v>40046</v>
      </c>
      <c r="B58" s="131">
        <v>0</v>
      </c>
      <c r="C58" s="131">
        <v>0</v>
      </c>
      <c r="D58" s="131">
        <v>0.05479452</v>
      </c>
      <c r="F58" s="131">
        <v>0</v>
      </c>
      <c r="G58" s="131">
        <v>0</v>
      </c>
      <c r="H58" s="131">
        <v>0.05479452</v>
      </c>
      <c r="J58" s="131">
        <v>0</v>
      </c>
      <c r="K58" s="131">
        <v>0</v>
      </c>
      <c r="L58" s="131">
        <v>0.05479452</v>
      </c>
      <c r="N58" s="131">
        <v>0</v>
      </c>
      <c r="O58" s="131">
        <v>0</v>
      </c>
      <c r="P58" s="131">
        <v>0.05479452</v>
      </c>
      <c r="R58" s="131">
        <v>0</v>
      </c>
      <c r="S58" s="131">
        <v>0</v>
      </c>
      <c r="T58" s="131">
        <v>0.05479452</v>
      </c>
      <c r="V58" s="131">
        <v>0</v>
      </c>
      <c r="W58" s="132">
        <v>0</v>
      </c>
      <c r="X58" s="132">
        <v>0.05479452</v>
      </c>
    </row>
    <row r="59" spans="1:24" ht="12.75">
      <c r="A59" s="130">
        <f t="shared" si="1"/>
        <v>40077</v>
      </c>
      <c r="B59" s="131">
        <v>0</v>
      </c>
      <c r="C59" s="131">
        <v>0</v>
      </c>
      <c r="D59" s="131">
        <v>0.05028623</v>
      </c>
      <c r="F59" s="131">
        <v>0</v>
      </c>
      <c r="G59" s="131">
        <v>0</v>
      </c>
      <c r="H59" s="131">
        <v>0.05028623</v>
      </c>
      <c r="J59" s="131">
        <v>0</v>
      </c>
      <c r="K59" s="131">
        <v>0</v>
      </c>
      <c r="L59" s="131">
        <v>0.05028623</v>
      </c>
      <c r="N59" s="131">
        <v>0</v>
      </c>
      <c r="O59" s="131">
        <v>0</v>
      </c>
      <c r="P59" s="131">
        <v>0.05028623</v>
      </c>
      <c r="R59" s="131">
        <v>0</v>
      </c>
      <c r="S59" s="131">
        <v>0</v>
      </c>
      <c r="T59" s="131">
        <v>0.05028623</v>
      </c>
      <c r="V59" s="131">
        <v>0</v>
      </c>
      <c r="W59" s="132">
        <v>0</v>
      </c>
      <c r="X59" s="132">
        <v>0.05028623</v>
      </c>
    </row>
    <row r="60" spans="1:24" ht="12.75">
      <c r="A60" s="130">
        <f t="shared" si="1"/>
        <v>40107</v>
      </c>
      <c r="B60" s="131">
        <v>0</v>
      </c>
      <c r="C60" s="131">
        <v>0</v>
      </c>
      <c r="D60" s="131">
        <v>0.04870149</v>
      </c>
      <c r="F60" s="131">
        <v>0</v>
      </c>
      <c r="G60" s="131">
        <v>0</v>
      </c>
      <c r="H60" s="131">
        <v>0.04870149</v>
      </c>
      <c r="J60" s="131">
        <v>0</v>
      </c>
      <c r="K60" s="131">
        <v>0</v>
      </c>
      <c r="L60" s="131">
        <v>0.04870149</v>
      </c>
      <c r="N60" s="131">
        <v>0</v>
      </c>
      <c r="O60" s="131">
        <v>0</v>
      </c>
      <c r="P60" s="131">
        <v>0.04870149</v>
      </c>
      <c r="R60" s="131">
        <v>0</v>
      </c>
      <c r="S60" s="131">
        <v>0</v>
      </c>
      <c r="T60" s="131">
        <v>0.04870149</v>
      </c>
      <c r="V60" s="131">
        <v>0</v>
      </c>
      <c r="W60" s="132">
        <v>0</v>
      </c>
      <c r="X60" s="132">
        <v>0.04870149</v>
      </c>
    </row>
    <row r="61" spans="1:24" ht="12.75">
      <c r="A61" s="130">
        <f t="shared" si="1"/>
        <v>40138</v>
      </c>
      <c r="B61" s="131">
        <v>0</v>
      </c>
      <c r="C61" s="131">
        <v>0</v>
      </c>
      <c r="D61" s="131">
        <v>0.05362941</v>
      </c>
      <c r="F61" s="131">
        <v>0</v>
      </c>
      <c r="G61" s="131">
        <v>0</v>
      </c>
      <c r="H61" s="131">
        <v>0.05362941</v>
      </c>
      <c r="J61" s="131">
        <v>0</v>
      </c>
      <c r="K61" s="131">
        <v>0</v>
      </c>
      <c r="L61" s="131">
        <v>0.05362941</v>
      </c>
      <c r="N61" s="131">
        <v>0</v>
      </c>
      <c r="O61" s="131">
        <v>0</v>
      </c>
      <c r="P61" s="131">
        <v>0.05362941</v>
      </c>
      <c r="R61" s="131">
        <v>0</v>
      </c>
      <c r="S61" s="131">
        <v>0</v>
      </c>
      <c r="T61" s="131">
        <v>0.05362941</v>
      </c>
      <c r="V61" s="131">
        <v>0</v>
      </c>
      <c r="W61" s="132">
        <v>0</v>
      </c>
      <c r="X61" s="132">
        <v>0.05362941</v>
      </c>
    </row>
    <row r="62" spans="1:24" ht="12.75">
      <c r="A62" s="130">
        <f t="shared" si="1"/>
        <v>40168</v>
      </c>
      <c r="B62" s="131">
        <v>0</v>
      </c>
      <c r="C62" s="131">
        <v>0</v>
      </c>
      <c r="D62" s="131">
        <v>0.03911193</v>
      </c>
      <c r="F62" s="131">
        <v>0</v>
      </c>
      <c r="G62" s="131">
        <v>0</v>
      </c>
      <c r="H62" s="131">
        <v>0.03911193</v>
      </c>
      <c r="J62" s="131">
        <v>0</v>
      </c>
      <c r="K62" s="131">
        <v>0</v>
      </c>
      <c r="L62" s="131">
        <v>0.03911193</v>
      </c>
      <c r="N62" s="131">
        <v>0</v>
      </c>
      <c r="O62" s="131">
        <v>0</v>
      </c>
      <c r="P62" s="131">
        <v>0.03911193</v>
      </c>
      <c r="R62" s="131">
        <v>0</v>
      </c>
      <c r="S62" s="131">
        <v>0</v>
      </c>
      <c r="T62" s="131">
        <v>0.03911193</v>
      </c>
      <c r="V62" s="131">
        <v>0</v>
      </c>
      <c r="W62" s="132">
        <v>0</v>
      </c>
      <c r="X62" s="132">
        <v>0.03911193</v>
      </c>
    </row>
    <row r="63" spans="1:24" ht="12.75">
      <c r="A63" s="130">
        <f t="shared" si="1"/>
        <v>40199</v>
      </c>
      <c r="B63" s="131">
        <v>0</v>
      </c>
      <c r="C63" s="131">
        <v>0</v>
      </c>
      <c r="D63" s="131">
        <v>0.04339387</v>
      </c>
      <c r="F63" s="131">
        <v>0</v>
      </c>
      <c r="G63" s="131">
        <v>0</v>
      </c>
      <c r="H63" s="131">
        <v>0.04339387</v>
      </c>
      <c r="J63" s="131">
        <v>0</v>
      </c>
      <c r="K63" s="131">
        <v>0</v>
      </c>
      <c r="L63" s="131">
        <v>0.04339387</v>
      </c>
      <c r="N63" s="131">
        <v>0</v>
      </c>
      <c r="O63" s="131">
        <v>0</v>
      </c>
      <c r="P63" s="131">
        <v>0.04339387</v>
      </c>
      <c r="R63" s="131">
        <v>0</v>
      </c>
      <c r="S63" s="131">
        <v>0</v>
      </c>
      <c r="T63" s="131">
        <v>0.04339387</v>
      </c>
      <c r="V63" s="131">
        <v>0</v>
      </c>
      <c r="W63" s="132">
        <v>0</v>
      </c>
      <c r="X63" s="132">
        <v>0.04339387</v>
      </c>
    </row>
    <row r="64" spans="1:24" ht="12.75">
      <c r="A64" s="130">
        <f t="shared" si="1"/>
        <v>40230</v>
      </c>
      <c r="B64" s="131">
        <v>0</v>
      </c>
      <c r="C64" s="131">
        <v>0</v>
      </c>
      <c r="D64" s="131">
        <v>0.04616975</v>
      </c>
      <c r="F64" s="131">
        <v>0</v>
      </c>
      <c r="G64" s="131">
        <v>0</v>
      </c>
      <c r="H64" s="131">
        <v>0.04616975</v>
      </c>
      <c r="J64" s="131">
        <v>0</v>
      </c>
      <c r="K64" s="131">
        <v>0</v>
      </c>
      <c r="L64" s="131">
        <v>0.04616975</v>
      </c>
      <c r="N64" s="131">
        <v>0</v>
      </c>
      <c r="O64" s="131">
        <v>0</v>
      </c>
      <c r="P64" s="131">
        <v>0.04616975</v>
      </c>
      <c r="R64" s="131">
        <v>0</v>
      </c>
      <c r="S64" s="131">
        <v>0</v>
      </c>
      <c r="T64" s="131">
        <v>0.04616975</v>
      </c>
      <c r="V64" s="131">
        <v>0</v>
      </c>
      <c r="W64" s="132">
        <v>0</v>
      </c>
      <c r="X64" s="132">
        <v>0.04616975</v>
      </c>
    </row>
    <row r="65" spans="1:24" s="209" customFormat="1" ht="12.75">
      <c r="A65" s="207">
        <f t="shared" si="1"/>
        <v>40258</v>
      </c>
      <c r="B65" s="208">
        <v>0</v>
      </c>
      <c r="C65" s="208">
        <v>0</v>
      </c>
      <c r="D65" s="208">
        <v>0.03663447</v>
      </c>
      <c r="F65" s="208">
        <v>0</v>
      </c>
      <c r="G65" s="208">
        <v>0</v>
      </c>
      <c r="H65" s="208">
        <v>0.03663447</v>
      </c>
      <c r="J65" s="208">
        <v>0</v>
      </c>
      <c r="K65" s="208">
        <v>0</v>
      </c>
      <c r="L65" s="208">
        <v>0.03663447</v>
      </c>
      <c r="N65" s="208">
        <v>0</v>
      </c>
      <c r="O65" s="208">
        <v>0</v>
      </c>
      <c r="P65" s="208">
        <v>0.03663447</v>
      </c>
      <c r="R65" s="208">
        <v>0</v>
      </c>
      <c r="S65" s="208">
        <v>0</v>
      </c>
      <c r="T65" s="208">
        <v>0.03663447</v>
      </c>
      <c r="V65" s="208">
        <v>0</v>
      </c>
      <c r="W65" s="210">
        <v>0</v>
      </c>
      <c r="X65" s="210">
        <v>0.03663447</v>
      </c>
    </row>
    <row r="66" spans="1:24" ht="12.75">
      <c r="A66" s="130">
        <f t="shared" si="1"/>
        <v>40289</v>
      </c>
      <c r="B66" s="131">
        <v>0</v>
      </c>
      <c r="C66" s="131">
        <v>0</v>
      </c>
      <c r="D66" s="131">
        <v>0.04153187</v>
      </c>
      <c r="F66" s="131">
        <v>0</v>
      </c>
      <c r="G66" s="131">
        <v>0</v>
      </c>
      <c r="H66" s="131">
        <v>0.04153187</v>
      </c>
      <c r="J66" s="131">
        <v>0</v>
      </c>
      <c r="K66" s="131">
        <v>0</v>
      </c>
      <c r="L66" s="131">
        <v>0.04153187</v>
      </c>
      <c r="N66" s="131">
        <v>0</v>
      </c>
      <c r="O66" s="131">
        <v>0</v>
      </c>
      <c r="P66" s="131">
        <v>0.04153187</v>
      </c>
      <c r="R66" s="131">
        <v>0</v>
      </c>
      <c r="S66" s="131">
        <v>0</v>
      </c>
      <c r="T66" s="131">
        <v>0.04153187</v>
      </c>
      <c r="V66" s="131">
        <v>0</v>
      </c>
      <c r="W66" s="132">
        <v>0</v>
      </c>
      <c r="X66" s="132">
        <v>0.04153187</v>
      </c>
    </row>
    <row r="67" spans="1:24" ht="12.75">
      <c r="A67" s="130">
        <f t="shared" si="1"/>
        <v>40319</v>
      </c>
      <c r="B67" s="131">
        <v>0</v>
      </c>
      <c r="C67" s="131">
        <v>0</v>
      </c>
      <c r="D67" s="131">
        <v>0.04074953</v>
      </c>
      <c r="F67" s="131">
        <v>0</v>
      </c>
      <c r="G67" s="131">
        <v>0</v>
      </c>
      <c r="H67" s="131">
        <v>0.04074953</v>
      </c>
      <c r="J67" s="131">
        <v>0</v>
      </c>
      <c r="K67" s="131">
        <v>0</v>
      </c>
      <c r="L67" s="131">
        <v>0.04074953</v>
      </c>
      <c r="N67" s="131">
        <v>0</v>
      </c>
      <c r="O67" s="131">
        <v>0</v>
      </c>
      <c r="P67" s="131">
        <v>0.04074953</v>
      </c>
      <c r="R67" s="131">
        <v>0</v>
      </c>
      <c r="S67" s="131">
        <v>0</v>
      </c>
      <c r="T67" s="131">
        <v>0.04074953</v>
      </c>
      <c r="V67" s="131">
        <v>0</v>
      </c>
      <c r="W67" s="132">
        <v>0</v>
      </c>
      <c r="X67" s="132">
        <v>0.04074953</v>
      </c>
    </row>
    <row r="68" spans="1:24" ht="12.75">
      <c r="A68" s="130">
        <f aca="true" t="shared" si="2" ref="A68:A99">+_XLL.FECHA.MES(A67,1)</f>
        <v>40350</v>
      </c>
      <c r="B68" s="131">
        <v>0</v>
      </c>
      <c r="C68" s="131">
        <v>0</v>
      </c>
      <c r="D68" s="131">
        <v>0.0391136</v>
      </c>
      <c r="F68" s="131">
        <v>0</v>
      </c>
      <c r="G68" s="131">
        <v>0</v>
      </c>
      <c r="H68" s="131">
        <v>0.0391136</v>
      </c>
      <c r="J68" s="131">
        <v>0</v>
      </c>
      <c r="K68" s="131">
        <v>0</v>
      </c>
      <c r="L68" s="131">
        <v>0.0391136</v>
      </c>
      <c r="N68" s="131">
        <v>0</v>
      </c>
      <c r="O68" s="131">
        <v>0</v>
      </c>
      <c r="P68" s="131">
        <v>0.0391136</v>
      </c>
      <c r="R68" s="131">
        <v>0</v>
      </c>
      <c r="S68" s="131">
        <v>0</v>
      </c>
      <c r="T68" s="131">
        <v>0.0391136</v>
      </c>
      <c r="V68" s="131">
        <v>0</v>
      </c>
      <c r="W68" s="132">
        <v>0</v>
      </c>
      <c r="X68" s="132">
        <v>0.0391136</v>
      </c>
    </row>
    <row r="69" spans="1:24" ht="12.75">
      <c r="A69" s="130">
        <f t="shared" si="2"/>
        <v>40380</v>
      </c>
      <c r="B69" s="131">
        <v>0</v>
      </c>
      <c r="C69" s="131">
        <v>0</v>
      </c>
      <c r="D69" s="131">
        <v>0.03765663</v>
      </c>
      <c r="F69" s="131">
        <v>0</v>
      </c>
      <c r="G69" s="131">
        <v>0</v>
      </c>
      <c r="H69" s="131">
        <v>0.03765663</v>
      </c>
      <c r="J69" s="131">
        <v>0</v>
      </c>
      <c r="K69" s="131">
        <v>0</v>
      </c>
      <c r="L69" s="131">
        <v>0.03765663</v>
      </c>
      <c r="N69" s="131">
        <v>0</v>
      </c>
      <c r="O69" s="131">
        <v>0</v>
      </c>
      <c r="P69" s="131">
        <v>0.03765663</v>
      </c>
      <c r="R69" s="131">
        <v>0</v>
      </c>
      <c r="S69" s="131">
        <v>0</v>
      </c>
      <c r="T69" s="131">
        <v>0.03765663</v>
      </c>
      <c r="V69" s="131">
        <v>0</v>
      </c>
      <c r="W69" s="132">
        <v>0</v>
      </c>
      <c r="X69" s="132">
        <v>0.03765663</v>
      </c>
    </row>
    <row r="70" spans="1:24" ht="12.75">
      <c r="A70" s="130">
        <f t="shared" si="2"/>
        <v>40411</v>
      </c>
      <c r="B70" s="131">
        <v>0</v>
      </c>
      <c r="C70" s="131">
        <v>0</v>
      </c>
      <c r="D70" s="131">
        <v>0.04418616</v>
      </c>
      <c r="F70" s="131">
        <v>0</v>
      </c>
      <c r="G70" s="131">
        <v>0</v>
      </c>
      <c r="H70" s="131">
        <v>0.04418616</v>
      </c>
      <c r="J70" s="131">
        <v>0</v>
      </c>
      <c r="K70" s="131">
        <v>0</v>
      </c>
      <c r="L70" s="131">
        <v>0.04418616</v>
      </c>
      <c r="N70" s="131">
        <v>0</v>
      </c>
      <c r="O70" s="131">
        <v>0</v>
      </c>
      <c r="P70" s="131">
        <v>0.04418616</v>
      </c>
      <c r="R70" s="131">
        <v>0</v>
      </c>
      <c r="S70" s="131">
        <v>0</v>
      </c>
      <c r="T70" s="131">
        <v>0.04418616</v>
      </c>
      <c r="V70" s="131">
        <v>0</v>
      </c>
      <c r="W70" s="132">
        <v>0</v>
      </c>
      <c r="X70" s="132">
        <v>0.04418616</v>
      </c>
    </row>
    <row r="71" spans="1:24" ht="12.75">
      <c r="A71" s="130">
        <f t="shared" si="2"/>
        <v>40442</v>
      </c>
      <c r="B71" s="131">
        <v>0</v>
      </c>
      <c r="C71" s="131">
        <v>0</v>
      </c>
      <c r="D71" s="131">
        <v>0.03608306</v>
      </c>
      <c r="F71" s="131">
        <v>0</v>
      </c>
      <c r="G71" s="131">
        <v>0</v>
      </c>
      <c r="H71" s="131">
        <v>0.03608306</v>
      </c>
      <c r="J71" s="131">
        <v>0</v>
      </c>
      <c r="K71" s="131">
        <v>0</v>
      </c>
      <c r="L71" s="131">
        <v>0.03608306</v>
      </c>
      <c r="N71" s="131">
        <v>0</v>
      </c>
      <c r="O71" s="131">
        <v>0</v>
      </c>
      <c r="P71" s="131">
        <v>0.03608306</v>
      </c>
      <c r="R71" s="131">
        <v>0</v>
      </c>
      <c r="S71" s="131">
        <v>0</v>
      </c>
      <c r="T71" s="131">
        <v>0.03608306</v>
      </c>
      <c r="V71" s="131">
        <v>0</v>
      </c>
      <c r="W71" s="132">
        <v>0</v>
      </c>
      <c r="X71" s="132">
        <v>0.03608306</v>
      </c>
    </row>
    <row r="72" spans="1:24" s="209" customFormat="1" ht="12.75">
      <c r="A72" s="207">
        <f t="shared" si="2"/>
        <v>40472</v>
      </c>
      <c r="B72" s="208">
        <v>0</v>
      </c>
      <c r="C72" s="208">
        <v>0</v>
      </c>
      <c r="D72" s="208">
        <v>0.04175247</v>
      </c>
      <c r="F72" s="208">
        <v>0</v>
      </c>
      <c r="G72" s="208">
        <v>0</v>
      </c>
      <c r="H72" s="208">
        <v>0.04175247</v>
      </c>
      <c r="J72" s="208">
        <v>0</v>
      </c>
      <c r="K72" s="208">
        <v>0</v>
      </c>
      <c r="L72" s="208">
        <v>0.04175247</v>
      </c>
      <c r="N72" s="208">
        <v>0</v>
      </c>
      <c r="O72" s="208">
        <v>0</v>
      </c>
      <c r="P72" s="208">
        <v>0.04175247</v>
      </c>
      <c r="R72" s="208">
        <v>0</v>
      </c>
      <c r="S72" s="208">
        <v>0</v>
      </c>
      <c r="T72" s="208">
        <v>0.04175247</v>
      </c>
      <c r="V72" s="208">
        <v>0</v>
      </c>
      <c r="W72" s="210">
        <v>0</v>
      </c>
      <c r="X72" s="210">
        <v>0.04175247</v>
      </c>
    </row>
    <row r="73" spans="1:24" ht="12.75">
      <c r="A73" s="130">
        <f t="shared" si="2"/>
        <v>40503</v>
      </c>
      <c r="B73" s="131">
        <v>0</v>
      </c>
      <c r="C73" s="131">
        <v>0</v>
      </c>
      <c r="D73" s="131">
        <v>0.03866279</v>
      </c>
      <c r="F73" s="131">
        <v>0</v>
      </c>
      <c r="G73" s="131">
        <v>0</v>
      </c>
      <c r="H73" s="131">
        <v>0.03866279</v>
      </c>
      <c r="J73" s="131">
        <v>0</v>
      </c>
      <c r="K73" s="131">
        <v>0</v>
      </c>
      <c r="L73" s="131">
        <v>0.03866279</v>
      </c>
      <c r="N73" s="131">
        <v>0</v>
      </c>
      <c r="O73" s="131">
        <v>0</v>
      </c>
      <c r="P73" s="131">
        <v>0.03866279</v>
      </c>
      <c r="R73" s="131">
        <v>0</v>
      </c>
      <c r="S73" s="131">
        <v>0</v>
      </c>
      <c r="T73" s="131">
        <v>0.03866279</v>
      </c>
      <c r="V73" s="131">
        <v>0</v>
      </c>
      <c r="W73" s="132">
        <v>0</v>
      </c>
      <c r="X73" s="132">
        <v>0.03866279</v>
      </c>
    </row>
    <row r="74" spans="1:24" s="209" customFormat="1" ht="12.75">
      <c r="A74" s="207">
        <f t="shared" si="2"/>
        <v>40533</v>
      </c>
      <c r="B74" s="208">
        <v>0</v>
      </c>
      <c r="C74" s="208">
        <v>0</v>
      </c>
      <c r="D74" s="208">
        <v>0.03466053</v>
      </c>
      <c r="F74" s="208">
        <v>0</v>
      </c>
      <c r="G74" s="208">
        <v>0</v>
      </c>
      <c r="H74" s="208">
        <v>0.03466053</v>
      </c>
      <c r="J74" s="208">
        <v>0</v>
      </c>
      <c r="K74" s="208">
        <v>0</v>
      </c>
      <c r="L74" s="208">
        <v>0.03466053</v>
      </c>
      <c r="N74" s="208">
        <v>0</v>
      </c>
      <c r="O74" s="208">
        <v>0</v>
      </c>
      <c r="P74" s="208">
        <v>0.03466053</v>
      </c>
      <c r="R74" s="208">
        <v>0</v>
      </c>
      <c r="S74" s="208">
        <v>0</v>
      </c>
      <c r="T74" s="208">
        <v>0.03466053</v>
      </c>
      <c r="V74" s="208">
        <v>0</v>
      </c>
      <c r="W74" s="210">
        <v>0</v>
      </c>
      <c r="X74" s="210">
        <v>0.03466053</v>
      </c>
    </row>
    <row r="75" spans="1:24" s="209" customFormat="1" ht="12.75">
      <c r="A75" s="207">
        <f t="shared" si="2"/>
        <v>40564</v>
      </c>
      <c r="B75" s="208">
        <v>0</v>
      </c>
      <c r="C75" s="208">
        <v>0</v>
      </c>
      <c r="D75" s="208">
        <v>0.03382013</v>
      </c>
      <c r="F75" s="208">
        <v>0</v>
      </c>
      <c r="G75" s="208">
        <v>0</v>
      </c>
      <c r="H75" s="208">
        <v>0.03382013</v>
      </c>
      <c r="J75" s="208">
        <v>0</v>
      </c>
      <c r="K75" s="208">
        <v>0</v>
      </c>
      <c r="L75" s="208">
        <v>0.03382013</v>
      </c>
      <c r="N75" s="208">
        <v>0</v>
      </c>
      <c r="O75" s="208">
        <v>0</v>
      </c>
      <c r="P75" s="208">
        <v>0.03382013</v>
      </c>
      <c r="R75" s="208">
        <v>0</v>
      </c>
      <c r="S75" s="208">
        <v>0</v>
      </c>
      <c r="T75" s="208">
        <v>0.03382013</v>
      </c>
      <c r="V75" s="208">
        <v>0</v>
      </c>
      <c r="W75" s="210">
        <v>0</v>
      </c>
      <c r="X75" s="210">
        <v>0.03382013</v>
      </c>
    </row>
    <row r="76" spans="1:24" ht="12.75">
      <c r="A76" s="130">
        <f t="shared" si="2"/>
        <v>40595</v>
      </c>
      <c r="B76" s="131">
        <v>0</v>
      </c>
      <c r="C76" s="131">
        <v>0</v>
      </c>
      <c r="D76" s="131">
        <v>0.03160331</v>
      </c>
      <c r="F76" s="131">
        <v>0</v>
      </c>
      <c r="G76" s="131">
        <v>0</v>
      </c>
      <c r="H76" s="131">
        <v>0.03160331</v>
      </c>
      <c r="J76" s="131">
        <v>0</v>
      </c>
      <c r="K76" s="131">
        <v>0</v>
      </c>
      <c r="L76" s="131">
        <v>0.03160331</v>
      </c>
      <c r="N76" s="131">
        <v>0</v>
      </c>
      <c r="O76" s="131">
        <v>0</v>
      </c>
      <c r="P76" s="131">
        <v>0.03160331</v>
      </c>
      <c r="R76" s="131">
        <v>0</v>
      </c>
      <c r="S76" s="131">
        <v>0</v>
      </c>
      <c r="T76" s="131">
        <v>0.03160331</v>
      </c>
      <c r="V76" s="131">
        <v>0</v>
      </c>
      <c r="W76" s="132">
        <v>0</v>
      </c>
      <c r="X76" s="132">
        <v>0.03160331</v>
      </c>
    </row>
    <row r="77" spans="1:24" ht="12.75">
      <c r="A77" s="130">
        <f t="shared" si="2"/>
        <v>40623</v>
      </c>
      <c r="B77" s="131">
        <v>0</v>
      </c>
      <c r="C77" s="131">
        <v>0</v>
      </c>
      <c r="D77" s="131">
        <v>0.03711363</v>
      </c>
      <c r="F77" s="131">
        <v>0</v>
      </c>
      <c r="G77" s="131">
        <v>0</v>
      </c>
      <c r="H77" s="131">
        <v>0.03711363</v>
      </c>
      <c r="J77" s="131">
        <v>0</v>
      </c>
      <c r="K77" s="131">
        <v>0</v>
      </c>
      <c r="L77" s="131">
        <v>0.03711363</v>
      </c>
      <c r="N77" s="131">
        <v>0</v>
      </c>
      <c r="O77" s="131">
        <v>0</v>
      </c>
      <c r="P77" s="131">
        <v>0.03711363</v>
      </c>
      <c r="R77" s="131">
        <v>0</v>
      </c>
      <c r="S77" s="131">
        <v>0</v>
      </c>
      <c r="T77" s="131">
        <v>0.03711363</v>
      </c>
      <c r="V77" s="131">
        <v>0</v>
      </c>
      <c r="W77" s="132">
        <v>0</v>
      </c>
      <c r="X77" s="132">
        <v>0.03711363</v>
      </c>
    </row>
    <row r="78" spans="1:24" ht="12.75">
      <c r="A78" s="130">
        <f t="shared" si="2"/>
        <v>40654</v>
      </c>
      <c r="B78" s="131">
        <v>0</v>
      </c>
      <c r="C78" s="131">
        <v>0</v>
      </c>
      <c r="D78" s="131">
        <v>0.03689635</v>
      </c>
      <c r="F78" s="131">
        <v>0</v>
      </c>
      <c r="G78" s="131">
        <v>0</v>
      </c>
      <c r="H78" s="131">
        <v>0.03689635</v>
      </c>
      <c r="J78" s="131">
        <v>0</v>
      </c>
      <c r="K78" s="131">
        <v>0</v>
      </c>
      <c r="L78" s="131">
        <v>0.03689635</v>
      </c>
      <c r="N78" s="131">
        <v>0</v>
      </c>
      <c r="O78" s="131">
        <v>0</v>
      </c>
      <c r="P78" s="131">
        <v>0.03689635</v>
      </c>
      <c r="R78" s="131">
        <v>0</v>
      </c>
      <c r="S78" s="131">
        <v>0</v>
      </c>
      <c r="T78" s="131">
        <v>0.03689635</v>
      </c>
      <c r="V78" s="131">
        <v>0</v>
      </c>
      <c r="W78" s="131">
        <v>0</v>
      </c>
      <c r="X78" s="131">
        <v>0.03689635</v>
      </c>
    </row>
    <row r="79" spans="1:24" ht="12.75">
      <c r="A79" s="130">
        <f t="shared" si="2"/>
        <v>40684</v>
      </c>
      <c r="B79" s="131">
        <v>0</v>
      </c>
      <c r="C79" s="131">
        <v>0</v>
      </c>
      <c r="D79" s="131">
        <v>0.02961467</v>
      </c>
      <c r="F79" s="131">
        <v>0</v>
      </c>
      <c r="G79" s="131">
        <v>0</v>
      </c>
      <c r="H79" s="131">
        <v>0.02961467</v>
      </c>
      <c r="J79" s="131">
        <v>0</v>
      </c>
      <c r="K79" s="131">
        <v>0</v>
      </c>
      <c r="L79" s="131">
        <v>0.02961467</v>
      </c>
      <c r="N79" s="131">
        <v>0</v>
      </c>
      <c r="O79" s="131">
        <v>0</v>
      </c>
      <c r="P79" s="131">
        <v>0.02961467</v>
      </c>
      <c r="R79" s="131">
        <v>0</v>
      </c>
      <c r="S79" s="131">
        <v>0</v>
      </c>
      <c r="T79" s="131">
        <v>0.02961467</v>
      </c>
      <c r="V79" s="131">
        <v>0</v>
      </c>
      <c r="W79" s="131">
        <v>0</v>
      </c>
      <c r="X79" s="131">
        <v>0.02961467</v>
      </c>
    </row>
    <row r="80" spans="1:24" ht="12.75">
      <c r="A80" s="130">
        <f t="shared" si="2"/>
        <v>40715</v>
      </c>
      <c r="B80" s="131">
        <v>0</v>
      </c>
      <c r="C80" s="131">
        <v>0</v>
      </c>
      <c r="D80" s="131">
        <v>0.03459432</v>
      </c>
      <c r="F80" s="131">
        <v>0</v>
      </c>
      <c r="G80" s="131">
        <v>0</v>
      </c>
      <c r="H80" s="131">
        <v>0.03459432</v>
      </c>
      <c r="J80" s="131">
        <v>0</v>
      </c>
      <c r="K80" s="131">
        <v>0</v>
      </c>
      <c r="L80" s="131">
        <v>0.03459432</v>
      </c>
      <c r="N80" s="131">
        <v>0</v>
      </c>
      <c r="O80" s="131">
        <v>0</v>
      </c>
      <c r="P80" s="131">
        <v>0.03459432</v>
      </c>
      <c r="R80" s="131">
        <v>0</v>
      </c>
      <c r="S80" s="131">
        <v>0</v>
      </c>
      <c r="T80" s="131">
        <v>0.03459432</v>
      </c>
      <c r="V80" s="131">
        <v>0</v>
      </c>
      <c r="W80" s="131">
        <v>0</v>
      </c>
      <c r="X80" s="131">
        <v>0.03459432</v>
      </c>
    </row>
    <row r="81" spans="1:24" ht="12.75">
      <c r="A81" s="130">
        <f t="shared" si="2"/>
        <v>40745</v>
      </c>
      <c r="B81" s="131">
        <v>0</v>
      </c>
      <c r="C81" s="131">
        <v>0</v>
      </c>
      <c r="D81" s="131">
        <v>0.03654468</v>
      </c>
      <c r="F81" s="131">
        <v>0</v>
      </c>
      <c r="G81" s="131">
        <v>0</v>
      </c>
      <c r="H81" s="131">
        <v>0.03654468</v>
      </c>
      <c r="J81" s="131">
        <v>0</v>
      </c>
      <c r="K81" s="131">
        <v>0</v>
      </c>
      <c r="L81" s="131">
        <v>0.03654468</v>
      </c>
      <c r="N81" s="131">
        <v>0</v>
      </c>
      <c r="O81" s="131">
        <v>0</v>
      </c>
      <c r="P81" s="131">
        <v>0.03654468</v>
      </c>
      <c r="R81" s="131">
        <v>0</v>
      </c>
      <c r="S81" s="131">
        <v>0</v>
      </c>
      <c r="T81" s="131">
        <v>0.03654468</v>
      </c>
      <c r="V81" s="131">
        <v>0</v>
      </c>
      <c r="W81" s="131">
        <v>0</v>
      </c>
      <c r="X81" s="131">
        <v>0.03654468</v>
      </c>
    </row>
    <row r="82" spans="1:24" s="213" customFormat="1" ht="12.75">
      <c r="A82" s="211">
        <f t="shared" si="2"/>
        <v>40776</v>
      </c>
      <c r="B82" s="212">
        <v>0</v>
      </c>
      <c r="C82" s="212">
        <v>0</v>
      </c>
      <c r="D82" s="212">
        <v>0.0183542</v>
      </c>
      <c r="F82" s="212">
        <v>0</v>
      </c>
      <c r="G82" s="212">
        <v>0</v>
      </c>
      <c r="H82" s="212">
        <v>0.0183542</v>
      </c>
      <c r="J82" s="212">
        <v>0</v>
      </c>
      <c r="K82" s="212">
        <v>0</v>
      </c>
      <c r="L82" s="212">
        <v>0.0183542</v>
      </c>
      <c r="N82" s="212">
        <v>0</v>
      </c>
      <c r="O82" s="212">
        <v>0</v>
      </c>
      <c r="P82" s="212">
        <v>0.0183542</v>
      </c>
      <c r="R82" s="212">
        <v>0</v>
      </c>
      <c r="S82" s="212">
        <v>0</v>
      </c>
      <c r="T82" s="212">
        <v>0.0183542</v>
      </c>
      <c r="V82" s="212">
        <v>0</v>
      </c>
      <c r="W82" s="212">
        <v>0</v>
      </c>
      <c r="X82" s="212">
        <v>0.0183542</v>
      </c>
    </row>
    <row r="83" spans="1:24" ht="12.75">
      <c r="A83" s="130">
        <f t="shared" si="2"/>
        <v>40807</v>
      </c>
      <c r="B83" s="131">
        <v>0</v>
      </c>
      <c r="C83" s="131">
        <v>0</v>
      </c>
      <c r="D83" s="131">
        <v>0</v>
      </c>
      <c r="F83" s="131">
        <v>0</v>
      </c>
      <c r="G83" s="131">
        <v>0</v>
      </c>
      <c r="H83" s="131">
        <v>0</v>
      </c>
      <c r="J83" s="131">
        <v>0</v>
      </c>
      <c r="K83" s="131">
        <v>0</v>
      </c>
      <c r="L83" s="131">
        <v>0</v>
      </c>
      <c r="N83" s="131">
        <v>0</v>
      </c>
      <c r="O83" s="131">
        <v>0</v>
      </c>
      <c r="P83" s="131">
        <v>0</v>
      </c>
      <c r="R83" s="131">
        <v>0</v>
      </c>
      <c r="S83" s="131">
        <v>0</v>
      </c>
      <c r="T83" s="131">
        <v>0</v>
      </c>
      <c r="V83" s="131">
        <v>0</v>
      </c>
      <c r="W83" s="131">
        <v>0</v>
      </c>
      <c r="X83" s="131">
        <v>0</v>
      </c>
    </row>
    <row r="84" spans="1:24" ht="12.75">
      <c r="A84" s="130">
        <f t="shared" si="2"/>
        <v>40837</v>
      </c>
      <c r="B84" s="131">
        <v>0</v>
      </c>
      <c r="C84" s="131">
        <v>0</v>
      </c>
      <c r="D84" s="131">
        <v>0</v>
      </c>
      <c r="F84" s="131">
        <v>0</v>
      </c>
      <c r="G84" s="131">
        <v>0</v>
      </c>
      <c r="H84" s="131">
        <v>0</v>
      </c>
      <c r="J84" s="131">
        <v>0</v>
      </c>
      <c r="K84" s="131">
        <v>0</v>
      </c>
      <c r="L84" s="131">
        <v>0</v>
      </c>
      <c r="N84" s="131">
        <v>0</v>
      </c>
      <c r="O84" s="131">
        <v>0</v>
      </c>
      <c r="P84" s="131">
        <v>0</v>
      </c>
      <c r="R84" s="131">
        <v>0</v>
      </c>
      <c r="S84" s="131">
        <v>0</v>
      </c>
      <c r="T84" s="131">
        <v>0</v>
      </c>
      <c r="V84" s="131">
        <v>0</v>
      </c>
      <c r="W84" s="131">
        <v>0</v>
      </c>
      <c r="X84" s="131">
        <v>0</v>
      </c>
    </row>
    <row r="85" spans="1:24" ht="12.75">
      <c r="A85" s="130">
        <f t="shared" si="2"/>
        <v>40868</v>
      </c>
      <c r="B85" s="131">
        <v>0</v>
      </c>
      <c r="C85" s="131">
        <v>0</v>
      </c>
      <c r="D85" s="131">
        <v>0</v>
      </c>
      <c r="F85" s="131">
        <v>0</v>
      </c>
      <c r="G85" s="131">
        <v>0</v>
      </c>
      <c r="H85" s="131">
        <v>0</v>
      </c>
      <c r="J85" s="131">
        <v>0</v>
      </c>
      <c r="K85" s="131">
        <v>0</v>
      </c>
      <c r="L85" s="131">
        <v>0</v>
      </c>
      <c r="N85" s="131">
        <v>0</v>
      </c>
      <c r="O85" s="131">
        <v>0</v>
      </c>
      <c r="P85" s="131">
        <v>0</v>
      </c>
      <c r="R85" s="131">
        <v>0</v>
      </c>
      <c r="S85" s="131">
        <v>0</v>
      </c>
      <c r="T85" s="131">
        <v>0</v>
      </c>
      <c r="V85" s="131">
        <v>0</v>
      </c>
      <c r="W85" s="131">
        <v>0</v>
      </c>
      <c r="X85" s="131">
        <v>0</v>
      </c>
    </row>
    <row r="86" spans="1:24" ht="12.75">
      <c r="A86" s="130">
        <f t="shared" si="2"/>
        <v>40898</v>
      </c>
      <c r="B86" s="131">
        <v>0</v>
      </c>
      <c r="C86" s="131">
        <v>0</v>
      </c>
      <c r="D86" s="131">
        <v>0</v>
      </c>
      <c r="F86" s="131">
        <v>0</v>
      </c>
      <c r="G86" s="131">
        <v>0</v>
      </c>
      <c r="H86" s="131">
        <v>0</v>
      </c>
      <c r="J86" s="131">
        <v>0</v>
      </c>
      <c r="K86" s="131">
        <v>0</v>
      </c>
      <c r="L86" s="131">
        <v>0</v>
      </c>
      <c r="N86" s="131">
        <v>0</v>
      </c>
      <c r="O86" s="131">
        <v>0</v>
      </c>
      <c r="P86" s="131">
        <v>0</v>
      </c>
      <c r="R86" s="131">
        <v>0</v>
      </c>
      <c r="S86" s="131">
        <v>0</v>
      </c>
      <c r="T86" s="131">
        <v>0</v>
      </c>
      <c r="V86" s="131">
        <v>0</v>
      </c>
      <c r="W86" s="131">
        <v>0</v>
      </c>
      <c r="X86" s="131">
        <v>0</v>
      </c>
    </row>
    <row r="87" spans="1:24" ht="12.75">
      <c r="A87" s="130">
        <f t="shared" si="2"/>
        <v>40929</v>
      </c>
      <c r="B87" s="131">
        <v>0</v>
      </c>
      <c r="C87" s="131">
        <v>0</v>
      </c>
      <c r="D87" s="131">
        <v>0</v>
      </c>
      <c r="F87" s="131">
        <v>0</v>
      </c>
      <c r="G87" s="131">
        <v>0</v>
      </c>
      <c r="H87" s="131">
        <v>0</v>
      </c>
      <c r="J87" s="131">
        <v>0</v>
      </c>
      <c r="K87" s="131">
        <v>0</v>
      </c>
      <c r="L87" s="131">
        <v>0</v>
      </c>
      <c r="N87" s="131">
        <v>0</v>
      </c>
      <c r="O87" s="131">
        <v>0</v>
      </c>
      <c r="P87" s="131">
        <v>0</v>
      </c>
      <c r="R87" s="131">
        <v>0</v>
      </c>
      <c r="S87" s="131">
        <v>0</v>
      </c>
      <c r="T87" s="131">
        <v>0</v>
      </c>
      <c r="V87" s="131">
        <v>0</v>
      </c>
      <c r="W87" s="131">
        <v>0</v>
      </c>
      <c r="X87" s="131">
        <v>0</v>
      </c>
    </row>
    <row r="88" spans="1:24" ht="12.75">
      <c r="A88" s="130">
        <f t="shared" si="2"/>
        <v>40960</v>
      </c>
      <c r="B88" s="131">
        <v>0</v>
      </c>
      <c r="C88" s="131">
        <v>0</v>
      </c>
      <c r="D88" s="131">
        <v>0</v>
      </c>
      <c r="F88" s="131">
        <v>0</v>
      </c>
      <c r="G88" s="131">
        <v>0</v>
      </c>
      <c r="H88" s="131">
        <v>0</v>
      </c>
      <c r="J88" s="131">
        <v>0</v>
      </c>
      <c r="K88" s="131">
        <v>0</v>
      </c>
      <c r="L88" s="131">
        <v>0</v>
      </c>
      <c r="N88" s="131">
        <v>0</v>
      </c>
      <c r="O88" s="131">
        <v>0</v>
      </c>
      <c r="P88" s="131">
        <v>0</v>
      </c>
      <c r="R88" s="131">
        <v>0</v>
      </c>
      <c r="S88" s="131">
        <v>0</v>
      </c>
      <c r="T88" s="131">
        <v>0</v>
      </c>
      <c r="V88" s="131">
        <v>0</v>
      </c>
      <c r="W88" s="131">
        <v>0</v>
      </c>
      <c r="X88" s="131">
        <v>0</v>
      </c>
    </row>
    <row r="89" spans="1:24" ht="12.75">
      <c r="A89" s="130">
        <f t="shared" si="2"/>
        <v>40989</v>
      </c>
      <c r="B89" s="131">
        <v>0</v>
      </c>
      <c r="C89" s="131">
        <v>0</v>
      </c>
      <c r="D89" s="131">
        <v>0</v>
      </c>
      <c r="F89" s="131">
        <v>0</v>
      </c>
      <c r="G89" s="131">
        <v>0</v>
      </c>
      <c r="H89" s="131">
        <v>0</v>
      </c>
      <c r="J89" s="131">
        <v>0</v>
      </c>
      <c r="K89" s="131">
        <v>0</v>
      </c>
      <c r="L89" s="131">
        <v>0</v>
      </c>
      <c r="N89" s="131">
        <v>0</v>
      </c>
      <c r="O89" s="131">
        <v>0</v>
      </c>
      <c r="P89" s="131">
        <v>0</v>
      </c>
      <c r="R89" s="131">
        <v>0</v>
      </c>
      <c r="S89" s="131">
        <v>0</v>
      </c>
      <c r="T89" s="131">
        <v>0</v>
      </c>
      <c r="V89" s="131">
        <v>0</v>
      </c>
      <c r="W89" s="131">
        <v>0</v>
      </c>
      <c r="X89" s="131">
        <v>0</v>
      </c>
    </row>
    <row r="90" spans="1:24" ht="12.75">
      <c r="A90" s="130">
        <f t="shared" si="2"/>
        <v>41020</v>
      </c>
      <c r="B90" s="131">
        <v>0</v>
      </c>
      <c r="C90" s="131">
        <v>0</v>
      </c>
      <c r="D90" s="131">
        <v>0</v>
      </c>
      <c r="F90" s="131">
        <v>0</v>
      </c>
      <c r="G90" s="131">
        <v>0</v>
      </c>
      <c r="H90" s="131">
        <v>0</v>
      </c>
      <c r="J90" s="131">
        <v>0</v>
      </c>
      <c r="K90" s="131">
        <v>0</v>
      </c>
      <c r="L90" s="131">
        <v>0</v>
      </c>
      <c r="N90" s="131">
        <v>0</v>
      </c>
      <c r="O90" s="131">
        <v>0</v>
      </c>
      <c r="P90" s="131">
        <v>0</v>
      </c>
      <c r="R90" s="131">
        <v>0</v>
      </c>
      <c r="S90" s="131">
        <v>0</v>
      </c>
      <c r="T90" s="131">
        <v>0</v>
      </c>
      <c r="V90" s="131">
        <v>0</v>
      </c>
      <c r="W90" s="131">
        <v>0</v>
      </c>
      <c r="X90" s="131">
        <v>0</v>
      </c>
    </row>
    <row r="91" spans="1:24" ht="12.75">
      <c r="A91" s="130">
        <f t="shared" si="2"/>
        <v>41050</v>
      </c>
      <c r="B91" s="131">
        <v>0</v>
      </c>
      <c r="C91" s="131">
        <v>0</v>
      </c>
      <c r="D91" s="131">
        <v>0</v>
      </c>
      <c r="F91" s="131">
        <v>0</v>
      </c>
      <c r="G91" s="131">
        <v>0</v>
      </c>
      <c r="H91" s="131">
        <v>0</v>
      </c>
      <c r="J91" s="131">
        <v>0</v>
      </c>
      <c r="K91" s="131">
        <v>0</v>
      </c>
      <c r="L91" s="131">
        <v>0</v>
      </c>
      <c r="N91" s="131">
        <v>0</v>
      </c>
      <c r="O91" s="131">
        <v>0</v>
      </c>
      <c r="P91" s="131">
        <v>0</v>
      </c>
      <c r="R91" s="131">
        <v>0</v>
      </c>
      <c r="S91" s="131">
        <v>0</v>
      </c>
      <c r="T91" s="131">
        <v>0</v>
      </c>
      <c r="V91" s="131">
        <v>0</v>
      </c>
      <c r="W91" s="131">
        <v>0</v>
      </c>
      <c r="X91" s="131">
        <v>0</v>
      </c>
    </row>
    <row r="92" spans="1:24" ht="12.75">
      <c r="A92" s="130">
        <f t="shared" si="2"/>
        <v>41081</v>
      </c>
      <c r="B92" s="131">
        <v>0</v>
      </c>
      <c r="C92" s="131">
        <v>0</v>
      </c>
      <c r="D92" s="131">
        <v>0</v>
      </c>
      <c r="F92" s="131">
        <v>0</v>
      </c>
      <c r="G92" s="131">
        <v>0</v>
      </c>
      <c r="H92" s="131">
        <v>0</v>
      </c>
      <c r="J92" s="131">
        <v>0</v>
      </c>
      <c r="K92" s="131">
        <v>0</v>
      </c>
      <c r="L92" s="131">
        <v>0</v>
      </c>
      <c r="N92" s="131">
        <v>0</v>
      </c>
      <c r="O92" s="131">
        <v>0</v>
      </c>
      <c r="P92" s="131">
        <v>0</v>
      </c>
      <c r="R92" s="131">
        <v>0</v>
      </c>
      <c r="S92" s="131">
        <v>0</v>
      </c>
      <c r="T92" s="131">
        <v>0</v>
      </c>
      <c r="V92" s="131">
        <v>0</v>
      </c>
      <c r="W92" s="131">
        <v>0</v>
      </c>
      <c r="X92" s="131">
        <v>0</v>
      </c>
    </row>
    <row r="93" spans="1:24" ht="12.75">
      <c r="A93" s="130">
        <f t="shared" si="2"/>
        <v>41111</v>
      </c>
      <c r="B93" s="131">
        <v>0</v>
      </c>
      <c r="C93" s="131">
        <v>0</v>
      </c>
      <c r="D93" s="131">
        <v>0</v>
      </c>
      <c r="F93" s="131">
        <v>0</v>
      </c>
      <c r="G93" s="131">
        <v>0</v>
      </c>
      <c r="H93" s="131">
        <v>0</v>
      </c>
      <c r="J93" s="131">
        <v>0</v>
      </c>
      <c r="K93" s="131">
        <v>0</v>
      </c>
      <c r="L93" s="131">
        <v>0</v>
      </c>
      <c r="N93" s="131">
        <v>0</v>
      </c>
      <c r="O93" s="131">
        <v>0</v>
      </c>
      <c r="P93" s="131">
        <v>0</v>
      </c>
      <c r="R93" s="131">
        <v>0</v>
      </c>
      <c r="S93" s="131">
        <v>0</v>
      </c>
      <c r="T93" s="131">
        <v>0</v>
      </c>
      <c r="V93" s="131">
        <v>0</v>
      </c>
      <c r="W93" s="132">
        <v>0</v>
      </c>
      <c r="X93" s="132">
        <v>0</v>
      </c>
    </row>
    <row r="94" spans="1:24" ht="12.75">
      <c r="A94" s="130">
        <f t="shared" si="2"/>
        <v>41142</v>
      </c>
      <c r="B94" s="131">
        <v>0</v>
      </c>
      <c r="C94" s="131">
        <v>0</v>
      </c>
      <c r="D94" s="131">
        <v>0</v>
      </c>
      <c r="F94" s="131">
        <v>0</v>
      </c>
      <c r="G94" s="131">
        <v>0</v>
      </c>
      <c r="H94" s="131">
        <v>0</v>
      </c>
      <c r="J94" s="131">
        <v>0</v>
      </c>
      <c r="K94" s="131">
        <v>0</v>
      </c>
      <c r="L94" s="131">
        <v>0</v>
      </c>
      <c r="N94" s="131">
        <v>0</v>
      </c>
      <c r="O94" s="131">
        <v>0</v>
      </c>
      <c r="P94" s="131">
        <v>0</v>
      </c>
      <c r="R94" s="131">
        <v>0</v>
      </c>
      <c r="S94" s="131">
        <v>0</v>
      </c>
      <c r="T94" s="131">
        <v>0</v>
      </c>
      <c r="V94" s="131">
        <v>0</v>
      </c>
      <c r="W94" s="132">
        <v>0</v>
      </c>
      <c r="X94" s="132">
        <v>0</v>
      </c>
    </row>
    <row r="95" spans="1:24" ht="12.75">
      <c r="A95" s="130">
        <f t="shared" si="2"/>
        <v>41173</v>
      </c>
      <c r="B95" s="131">
        <v>0</v>
      </c>
      <c r="C95" s="131">
        <v>0</v>
      </c>
      <c r="D95" s="131">
        <v>0</v>
      </c>
      <c r="F95" s="131">
        <v>0</v>
      </c>
      <c r="G95" s="131">
        <v>0</v>
      </c>
      <c r="H95" s="131">
        <v>0</v>
      </c>
      <c r="J95" s="131">
        <v>0</v>
      </c>
      <c r="K95" s="131">
        <v>0</v>
      </c>
      <c r="L95" s="131">
        <v>0</v>
      </c>
      <c r="N95" s="131">
        <v>0</v>
      </c>
      <c r="O95" s="131">
        <v>0</v>
      </c>
      <c r="P95" s="131">
        <v>0</v>
      </c>
      <c r="R95" s="131">
        <v>0</v>
      </c>
      <c r="S95" s="131">
        <v>0</v>
      </c>
      <c r="T95" s="131">
        <v>0</v>
      </c>
      <c r="V95" s="131">
        <v>0</v>
      </c>
      <c r="W95" s="132">
        <v>0</v>
      </c>
      <c r="X95" s="132">
        <v>0</v>
      </c>
    </row>
    <row r="96" spans="1:24" ht="12.75">
      <c r="A96" s="130">
        <f t="shared" si="2"/>
        <v>41203</v>
      </c>
      <c r="B96" s="131">
        <v>0</v>
      </c>
      <c r="C96" s="131">
        <v>0</v>
      </c>
      <c r="D96" s="131">
        <v>0</v>
      </c>
      <c r="F96" s="131">
        <v>0</v>
      </c>
      <c r="G96" s="131">
        <v>0</v>
      </c>
      <c r="H96" s="131">
        <v>0</v>
      </c>
      <c r="J96" s="131">
        <v>0</v>
      </c>
      <c r="K96" s="131">
        <v>0</v>
      </c>
      <c r="L96" s="131">
        <v>0</v>
      </c>
      <c r="N96" s="131">
        <v>0</v>
      </c>
      <c r="O96" s="131">
        <v>0</v>
      </c>
      <c r="P96" s="131">
        <v>0</v>
      </c>
      <c r="R96" s="131">
        <v>0</v>
      </c>
      <c r="S96" s="131">
        <v>0</v>
      </c>
      <c r="T96" s="131">
        <v>0</v>
      </c>
      <c r="V96" s="131">
        <v>0</v>
      </c>
      <c r="W96" s="132">
        <v>0</v>
      </c>
      <c r="X96" s="132">
        <v>0</v>
      </c>
    </row>
    <row r="97" spans="1:24" ht="12.75">
      <c r="A97" s="130">
        <f t="shared" si="2"/>
        <v>41234</v>
      </c>
      <c r="B97" s="131">
        <v>0</v>
      </c>
      <c r="C97" s="131">
        <v>0</v>
      </c>
      <c r="D97" s="131">
        <v>0</v>
      </c>
      <c r="F97" s="131">
        <v>0</v>
      </c>
      <c r="G97" s="131">
        <v>0</v>
      </c>
      <c r="H97" s="131">
        <v>0</v>
      </c>
      <c r="J97" s="131">
        <v>0</v>
      </c>
      <c r="K97" s="131">
        <v>0</v>
      </c>
      <c r="L97" s="131">
        <v>0</v>
      </c>
      <c r="N97" s="131">
        <v>0</v>
      </c>
      <c r="O97" s="131">
        <v>0</v>
      </c>
      <c r="P97" s="131">
        <v>0</v>
      </c>
      <c r="R97" s="131">
        <v>0</v>
      </c>
      <c r="S97" s="131">
        <v>0</v>
      </c>
      <c r="T97" s="131">
        <v>0</v>
      </c>
      <c r="V97" s="131">
        <v>0</v>
      </c>
      <c r="W97" s="132">
        <v>0</v>
      </c>
      <c r="X97" s="132">
        <v>0</v>
      </c>
    </row>
    <row r="98" spans="1:24" ht="12.75">
      <c r="A98" s="130">
        <f t="shared" si="2"/>
        <v>41264</v>
      </c>
      <c r="B98" s="131">
        <v>0</v>
      </c>
      <c r="C98" s="131">
        <v>0</v>
      </c>
      <c r="D98" s="131">
        <v>0</v>
      </c>
      <c r="F98" s="131">
        <v>0</v>
      </c>
      <c r="G98" s="131">
        <v>0</v>
      </c>
      <c r="H98" s="131">
        <v>0</v>
      </c>
      <c r="J98" s="131">
        <v>0</v>
      </c>
      <c r="K98" s="131">
        <v>0</v>
      </c>
      <c r="L98" s="131">
        <v>0</v>
      </c>
      <c r="N98" s="131">
        <v>0</v>
      </c>
      <c r="O98" s="131">
        <v>0</v>
      </c>
      <c r="P98" s="131">
        <v>0</v>
      </c>
      <c r="R98" s="131">
        <v>0</v>
      </c>
      <c r="S98" s="131">
        <v>0</v>
      </c>
      <c r="T98" s="131">
        <v>0</v>
      </c>
      <c r="V98" s="131">
        <v>0</v>
      </c>
      <c r="W98" s="132">
        <v>0</v>
      </c>
      <c r="X98" s="132">
        <v>0</v>
      </c>
    </row>
    <row r="99" spans="1:24" ht="12.75">
      <c r="A99" s="130">
        <f t="shared" si="2"/>
        <v>41295</v>
      </c>
      <c r="B99" s="131">
        <v>0</v>
      </c>
      <c r="C99" s="131">
        <v>0</v>
      </c>
      <c r="D99" s="131">
        <v>0</v>
      </c>
      <c r="F99" s="131">
        <v>0</v>
      </c>
      <c r="G99" s="131">
        <v>0</v>
      </c>
      <c r="H99" s="131">
        <v>0</v>
      </c>
      <c r="J99" s="131">
        <v>0</v>
      </c>
      <c r="K99" s="131">
        <v>0</v>
      </c>
      <c r="L99" s="131">
        <v>0</v>
      </c>
      <c r="N99" s="131">
        <v>0</v>
      </c>
      <c r="O99" s="131">
        <v>0</v>
      </c>
      <c r="P99" s="131">
        <v>0</v>
      </c>
      <c r="R99" s="131">
        <v>0</v>
      </c>
      <c r="S99" s="131">
        <v>0</v>
      </c>
      <c r="T99" s="131">
        <v>0</v>
      </c>
      <c r="V99" s="131">
        <v>0</v>
      </c>
      <c r="W99" s="132">
        <v>0</v>
      </c>
      <c r="X99" s="132">
        <v>0</v>
      </c>
    </row>
    <row r="100" spans="1:24" ht="12.75">
      <c r="A100" s="130">
        <f aca="true" t="shared" si="3" ref="A100:A131">+_XLL.FECHA.MES(A99,1)</f>
        <v>41326</v>
      </c>
      <c r="B100" s="131">
        <v>0</v>
      </c>
      <c r="C100" s="131">
        <v>0</v>
      </c>
      <c r="D100" s="131">
        <v>0</v>
      </c>
      <c r="F100" s="131">
        <v>0</v>
      </c>
      <c r="G100" s="131">
        <v>0</v>
      </c>
      <c r="H100" s="131">
        <v>0</v>
      </c>
      <c r="J100" s="131">
        <v>0</v>
      </c>
      <c r="K100" s="131">
        <v>0</v>
      </c>
      <c r="L100" s="131">
        <v>0</v>
      </c>
      <c r="N100" s="131">
        <v>0</v>
      </c>
      <c r="O100" s="131">
        <v>0</v>
      </c>
      <c r="P100" s="131">
        <v>0</v>
      </c>
      <c r="R100" s="131">
        <v>0</v>
      </c>
      <c r="S100" s="131">
        <v>0</v>
      </c>
      <c r="T100" s="131">
        <v>0</v>
      </c>
      <c r="V100" s="131">
        <v>0</v>
      </c>
      <c r="W100" s="132">
        <v>0</v>
      </c>
      <c r="X100" s="132">
        <v>0</v>
      </c>
    </row>
    <row r="101" spans="1:24" ht="12.75">
      <c r="A101" s="130">
        <f t="shared" si="3"/>
        <v>41354</v>
      </c>
      <c r="B101" s="131">
        <v>0</v>
      </c>
      <c r="C101" s="131">
        <v>0</v>
      </c>
      <c r="D101" s="131">
        <v>0</v>
      </c>
      <c r="F101" s="131">
        <v>0</v>
      </c>
      <c r="G101" s="131">
        <v>0</v>
      </c>
      <c r="H101" s="131">
        <v>0</v>
      </c>
      <c r="J101" s="131">
        <v>0</v>
      </c>
      <c r="K101" s="131">
        <v>0</v>
      </c>
      <c r="L101" s="131">
        <v>0</v>
      </c>
      <c r="N101" s="131">
        <v>0</v>
      </c>
      <c r="O101" s="131">
        <v>0</v>
      </c>
      <c r="P101" s="131">
        <v>0</v>
      </c>
      <c r="R101" s="131">
        <v>0</v>
      </c>
      <c r="S101" s="131">
        <v>0</v>
      </c>
      <c r="T101" s="131">
        <v>0</v>
      </c>
      <c r="V101" s="131">
        <v>0</v>
      </c>
      <c r="W101" s="132">
        <v>0</v>
      </c>
      <c r="X101" s="132">
        <v>0</v>
      </c>
    </row>
    <row r="102" spans="1:24" ht="12.75">
      <c r="A102" s="130">
        <f t="shared" si="3"/>
        <v>41385</v>
      </c>
      <c r="B102" s="131">
        <v>0</v>
      </c>
      <c r="C102" s="131">
        <v>0</v>
      </c>
      <c r="D102" s="131">
        <v>0</v>
      </c>
      <c r="F102" s="131">
        <v>0</v>
      </c>
      <c r="G102" s="131">
        <v>0</v>
      </c>
      <c r="H102" s="131">
        <v>0</v>
      </c>
      <c r="J102" s="131">
        <v>0</v>
      </c>
      <c r="K102" s="131">
        <v>0</v>
      </c>
      <c r="L102" s="131">
        <v>0</v>
      </c>
      <c r="N102" s="131">
        <v>0</v>
      </c>
      <c r="O102" s="131">
        <v>0</v>
      </c>
      <c r="P102" s="131">
        <v>0</v>
      </c>
      <c r="R102" s="131">
        <v>0</v>
      </c>
      <c r="S102" s="131">
        <v>0</v>
      </c>
      <c r="T102" s="131">
        <v>0</v>
      </c>
      <c r="V102" s="131">
        <v>0</v>
      </c>
      <c r="W102" s="132">
        <v>0</v>
      </c>
      <c r="X102" s="132">
        <v>0</v>
      </c>
    </row>
    <row r="103" spans="1:24" ht="12.75">
      <c r="A103" s="130">
        <f t="shared" si="3"/>
        <v>41415</v>
      </c>
      <c r="B103" s="131">
        <v>0</v>
      </c>
      <c r="C103" s="131">
        <v>0</v>
      </c>
      <c r="D103" s="131">
        <v>0</v>
      </c>
      <c r="F103" s="131">
        <v>0</v>
      </c>
      <c r="G103" s="131">
        <v>0</v>
      </c>
      <c r="H103" s="131">
        <v>0</v>
      </c>
      <c r="J103" s="131">
        <v>0</v>
      </c>
      <c r="K103" s="131">
        <v>0</v>
      </c>
      <c r="L103" s="131">
        <v>0</v>
      </c>
      <c r="N103" s="131">
        <v>0</v>
      </c>
      <c r="O103" s="131">
        <v>0</v>
      </c>
      <c r="P103" s="131">
        <v>0</v>
      </c>
      <c r="R103" s="131">
        <v>0</v>
      </c>
      <c r="S103" s="131">
        <v>0</v>
      </c>
      <c r="T103" s="131">
        <v>0</v>
      </c>
      <c r="V103" s="131">
        <v>0</v>
      </c>
      <c r="W103" s="132">
        <v>0</v>
      </c>
      <c r="X103" s="132">
        <v>0</v>
      </c>
    </row>
    <row r="104" spans="1:24" ht="12.75">
      <c r="A104" s="130">
        <f t="shared" si="3"/>
        <v>41446</v>
      </c>
      <c r="B104" s="131">
        <v>0</v>
      </c>
      <c r="C104" s="131">
        <v>0</v>
      </c>
      <c r="D104" s="131">
        <v>0</v>
      </c>
      <c r="F104" s="131">
        <v>0</v>
      </c>
      <c r="G104" s="131">
        <v>0</v>
      </c>
      <c r="H104" s="131">
        <v>0</v>
      </c>
      <c r="J104" s="131">
        <v>0</v>
      </c>
      <c r="K104" s="131">
        <v>0</v>
      </c>
      <c r="L104" s="131">
        <v>0</v>
      </c>
      <c r="N104" s="131">
        <v>0</v>
      </c>
      <c r="O104" s="131">
        <v>0</v>
      </c>
      <c r="P104" s="131">
        <v>0</v>
      </c>
      <c r="R104" s="131">
        <v>0</v>
      </c>
      <c r="S104" s="131">
        <v>0</v>
      </c>
      <c r="T104" s="131">
        <v>0</v>
      </c>
      <c r="V104" s="131">
        <v>0</v>
      </c>
      <c r="W104" s="132">
        <v>0</v>
      </c>
      <c r="X104" s="132">
        <v>0</v>
      </c>
    </row>
    <row r="105" spans="1:24" ht="12.75">
      <c r="A105" s="130">
        <f t="shared" si="3"/>
        <v>41476</v>
      </c>
      <c r="B105" s="131">
        <v>0</v>
      </c>
      <c r="C105" s="131">
        <v>0</v>
      </c>
      <c r="D105" s="131">
        <v>0</v>
      </c>
      <c r="F105" s="131">
        <v>0</v>
      </c>
      <c r="G105" s="131">
        <v>0</v>
      </c>
      <c r="H105" s="131">
        <v>0</v>
      </c>
      <c r="J105" s="131">
        <v>0</v>
      </c>
      <c r="K105" s="131">
        <v>0</v>
      </c>
      <c r="L105" s="131">
        <v>0</v>
      </c>
      <c r="N105" s="131">
        <v>0</v>
      </c>
      <c r="O105" s="131">
        <v>0</v>
      </c>
      <c r="P105" s="131">
        <v>0</v>
      </c>
      <c r="R105" s="131">
        <v>0</v>
      </c>
      <c r="S105" s="131">
        <v>0</v>
      </c>
      <c r="T105" s="131">
        <v>0</v>
      </c>
      <c r="V105" s="131">
        <v>0</v>
      </c>
      <c r="W105" s="132">
        <v>0</v>
      </c>
      <c r="X105" s="132">
        <v>0</v>
      </c>
    </row>
    <row r="106" spans="1:24" ht="12.75">
      <c r="A106" s="130">
        <f t="shared" si="3"/>
        <v>41507</v>
      </c>
      <c r="B106" s="131">
        <v>0</v>
      </c>
      <c r="C106" s="131">
        <v>0</v>
      </c>
      <c r="D106" s="131">
        <v>0</v>
      </c>
      <c r="F106" s="131">
        <v>0</v>
      </c>
      <c r="G106" s="131">
        <v>0</v>
      </c>
      <c r="H106" s="131">
        <v>0</v>
      </c>
      <c r="J106" s="131">
        <v>0</v>
      </c>
      <c r="K106" s="131">
        <v>0</v>
      </c>
      <c r="L106" s="131">
        <v>0</v>
      </c>
      <c r="N106" s="131">
        <v>0</v>
      </c>
      <c r="O106" s="131">
        <v>0</v>
      </c>
      <c r="P106" s="131">
        <v>0</v>
      </c>
      <c r="R106" s="131">
        <v>0</v>
      </c>
      <c r="S106" s="131">
        <v>0</v>
      </c>
      <c r="T106" s="131">
        <v>0</v>
      </c>
      <c r="V106" s="131">
        <v>0</v>
      </c>
      <c r="W106" s="132">
        <v>0</v>
      </c>
      <c r="X106" s="132">
        <v>0</v>
      </c>
    </row>
    <row r="107" spans="1:24" ht="12.75">
      <c r="A107" s="130">
        <f t="shared" si="3"/>
        <v>41538</v>
      </c>
      <c r="B107" s="131">
        <v>0</v>
      </c>
      <c r="C107" s="131">
        <v>0</v>
      </c>
      <c r="D107" s="131">
        <v>0</v>
      </c>
      <c r="F107" s="131">
        <v>0</v>
      </c>
      <c r="G107" s="131">
        <v>0</v>
      </c>
      <c r="H107" s="131">
        <v>0</v>
      </c>
      <c r="J107" s="131">
        <v>0</v>
      </c>
      <c r="K107" s="131">
        <v>0</v>
      </c>
      <c r="L107" s="131">
        <v>0</v>
      </c>
      <c r="N107" s="131">
        <v>0</v>
      </c>
      <c r="O107" s="131">
        <v>0</v>
      </c>
      <c r="P107" s="131">
        <v>0</v>
      </c>
      <c r="R107" s="131">
        <v>0</v>
      </c>
      <c r="S107" s="131">
        <v>0</v>
      </c>
      <c r="T107" s="131">
        <v>0</v>
      </c>
      <c r="V107" s="131">
        <v>0</v>
      </c>
      <c r="W107" s="132">
        <v>0</v>
      </c>
      <c r="X107" s="132">
        <v>0</v>
      </c>
    </row>
    <row r="108" spans="1:24" ht="12.75">
      <c r="A108" s="130">
        <f t="shared" si="3"/>
        <v>41568</v>
      </c>
      <c r="B108" s="131">
        <v>0</v>
      </c>
      <c r="C108" s="131">
        <v>0</v>
      </c>
      <c r="D108" s="131">
        <v>0</v>
      </c>
      <c r="F108" s="131">
        <v>0</v>
      </c>
      <c r="G108" s="131">
        <v>0</v>
      </c>
      <c r="H108" s="131">
        <v>0</v>
      </c>
      <c r="J108" s="131">
        <v>0</v>
      </c>
      <c r="K108" s="131">
        <v>0</v>
      </c>
      <c r="L108" s="131">
        <v>0</v>
      </c>
      <c r="N108" s="131">
        <v>0</v>
      </c>
      <c r="O108" s="131">
        <v>0</v>
      </c>
      <c r="P108" s="131">
        <v>0</v>
      </c>
      <c r="R108" s="131">
        <v>0</v>
      </c>
      <c r="S108" s="131">
        <v>0</v>
      </c>
      <c r="T108" s="131">
        <v>0</v>
      </c>
      <c r="V108" s="131">
        <v>0</v>
      </c>
      <c r="W108" s="132">
        <v>0</v>
      </c>
      <c r="X108" s="132">
        <v>0</v>
      </c>
    </row>
    <row r="109" spans="1:24" ht="12.75">
      <c r="A109" s="130">
        <f t="shared" si="3"/>
        <v>41599</v>
      </c>
      <c r="B109" s="131">
        <v>0</v>
      </c>
      <c r="C109" s="131">
        <v>0</v>
      </c>
      <c r="D109" s="131">
        <v>0</v>
      </c>
      <c r="F109" s="131">
        <v>0</v>
      </c>
      <c r="G109" s="131">
        <v>0</v>
      </c>
      <c r="H109" s="131">
        <v>0</v>
      </c>
      <c r="J109" s="131">
        <v>0</v>
      </c>
      <c r="K109" s="131">
        <v>0</v>
      </c>
      <c r="L109" s="131">
        <v>0</v>
      </c>
      <c r="N109" s="131">
        <v>0</v>
      </c>
      <c r="O109" s="131">
        <v>0</v>
      </c>
      <c r="P109" s="131">
        <v>0</v>
      </c>
      <c r="R109" s="131">
        <v>0</v>
      </c>
      <c r="S109" s="131">
        <v>0</v>
      </c>
      <c r="T109" s="131">
        <v>0</v>
      </c>
      <c r="V109" s="131">
        <v>0</v>
      </c>
      <c r="W109" s="132">
        <v>0</v>
      </c>
      <c r="X109" s="132">
        <v>0</v>
      </c>
    </row>
    <row r="110" spans="1:24" ht="12.75">
      <c r="A110" s="130">
        <f t="shared" si="3"/>
        <v>41629</v>
      </c>
      <c r="B110" s="131">
        <v>0</v>
      </c>
      <c r="C110" s="131">
        <v>0</v>
      </c>
      <c r="D110" s="131">
        <v>0</v>
      </c>
      <c r="F110" s="131">
        <v>0</v>
      </c>
      <c r="G110" s="131">
        <v>0</v>
      </c>
      <c r="H110" s="131">
        <v>0</v>
      </c>
      <c r="J110" s="131">
        <v>0</v>
      </c>
      <c r="K110" s="131">
        <v>0</v>
      </c>
      <c r="L110" s="131">
        <v>0</v>
      </c>
      <c r="N110" s="131">
        <v>0</v>
      </c>
      <c r="O110" s="131">
        <v>0</v>
      </c>
      <c r="P110" s="131">
        <v>0</v>
      </c>
      <c r="R110" s="131">
        <v>0</v>
      </c>
      <c r="S110" s="131">
        <v>0</v>
      </c>
      <c r="T110" s="131">
        <v>0</v>
      </c>
      <c r="V110" s="131">
        <v>0</v>
      </c>
      <c r="W110" s="132">
        <v>0</v>
      </c>
      <c r="X110" s="132">
        <v>0</v>
      </c>
    </row>
    <row r="111" spans="1:24" ht="12.75">
      <c r="A111" s="130">
        <f t="shared" si="3"/>
        <v>41660</v>
      </c>
      <c r="B111" s="131">
        <v>0</v>
      </c>
      <c r="C111" s="131">
        <v>0</v>
      </c>
      <c r="D111" s="131">
        <v>0</v>
      </c>
      <c r="F111" s="131">
        <v>0</v>
      </c>
      <c r="G111" s="131">
        <v>0</v>
      </c>
      <c r="H111" s="131">
        <v>0</v>
      </c>
      <c r="J111" s="131">
        <v>0</v>
      </c>
      <c r="K111" s="131">
        <v>0</v>
      </c>
      <c r="L111" s="131">
        <v>0</v>
      </c>
      <c r="N111" s="131">
        <v>0</v>
      </c>
      <c r="O111" s="131">
        <v>0</v>
      </c>
      <c r="P111" s="131">
        <v>0</v>
      </c>
      <c r="R111" s="131">
        <v>0</v>
      </c>
      <c r="S111" s="131">
        <v>0</v>
      </c>
      <c r="T111" s="131">
        <v>0</v>
      </c>
      <c r="V111" s="131">
        <v>0</v>
      </c>
      <c r="W111" s="132">
        <v>0</v>
      </c>
      <c r="X111" s="132">
        <v>0</v>
      </c>
    </row>
    <row r="112" spans="1:24" ht="12.75">
      <c r="A112" s="130">
        <f t="shared" si="3"/>
        <v>41691</v>
      </c>
      <c r="B112" s="131">
        <v>0</v>
      </c>
      <c r="C112" s="131">
        <v>0</v>
      </c>
      <c r="D112" s="131">
        <v>0</v>
      </c>
      <c r="F112" s="131">
        <v>0</v>
      </c>
      <c r="G112" s="131">
        <v>0</v>
      </c>
      <c r="H112" s="131">
        <v>0</v>
      </c>
      <c r="J112" s="131">
        <v>0</v>
      </c>
      <c r="K112" s="131">
        <v>0</v>
      </c>
      <c r="L112" s="131">
        <v>0</v>
      </c>
      <c r="N112" s="131">
        <v>0</v>
      </c>
      <c r="O112" s="131">
        <v>0</v>
      </c>
      <c r="P112" s="131">
        <v>0</v>
      </c>
      <c r="R112" s="131">
        <v>0</v>
      </c>
      <c r="S112" s="131">
        <v>0</v>
      </c>
      <c r="T112" s="131">
        <v>0</v>
      </c>
      <c r="V112" s="131">
        <v>0</v>
      </c>
      <c r="W112" s="132">
        <v>0</v>
      </c>
      <c r="X112" s="132">
        <v>0</v>
      </c>
    </row>
    <row r="113" spans="1:24" ht="12.75">
      <c r="A113" s="130">
        <f t="shared" si="3"/>
        <v>41719</v>
      </c>
      <c r="B113" s="131">
        <v>0</v>
      </c>
      <c r="C113" s="131">
        <v>0</v>
      </c>
      <c r="D113" s="131">
        <v>0</v>
      </c>
      <c r="F113" s="131">
        <v>0</v>
      </c>
      <c r="G113" s="131">
        <v>0</v>
      </c>
      <c r="H113" s="131">
        <v>0</v>
      </c>
      <c r="J113" s="131">
        <v>0</v>
      </c>
      <c r="K113" s="131">
        <v>0</v>
      </c>
      <c r="L113" s="131">
        <v>0</v>
      </c>
      <c r="N113" s="131">
        <v>0</v>
      </c>
      <c r="O113" s="131">
        <v>0</v>
      </c>
      <c r="P113" s="131">
        <v>0</v>
      </c>
      <c r="R113" s="131">
        <v>0</v>
      </c>
      <c r="S113" s="131">
        <v>0</v>
      </c>
      <c r="T113" s="131">
        <v>0</v>
      </c>
      <c r="V113" s="131">
        <v>0</v>
      </c>
      <c r="W113" s="132">
        <v>0</v>
      </c>
      <c r="X113" s="132">
        <v>0</v>
      </c>
    </row>
    <row r="114" spans="1:24" ht="12.75">
      <c r="A114" s="130">
        <f t="shared" si="3"/>
        <v>41750</v>
      </c>
      <c r="B114" s="131">
        <v>0</v>
      </c>
      <c r="C114" s="131">
        <v>0</v>
      </c>
      <c r="D114" s="131">
        <v>0</v>
      </c>
      <c r="F114" s="131">
        <v>0</v>
      </c>
      <c r="G114" s="131">
        <v>0</v>
      </c>
      <c r="H114" s="131">
        <v>0</v>
      </c>
      <c r="J114" s="131">
        <v>0</v>
      </c>
      <c r="K114" s="131">
        <v>0</v>
      </c>
      <c r="L114" s="131">
        <v>0</v>
      </c>
      <c r="N114" s="131">
        <v>0</v>
      </c>
      <c r="O114" s="131">
        <v>0</v>
      </c>
      <c r="P114" s="131">
        <v>0</v>
      </c>
      <c r="R114" s="131">
        <v>0</v>
      </c>
      <c r="S114" s="131">
        <v>0</v>
      </c>
      <c r="T114" s="131">
        <v>0</v>
      </c>
      <c r="V114" s="131">
        <v>0</v>
      </c>
      <c r="W114" s="132">
        <v>0</v>
      </c>
      <c r="X114" s="132">
        <v>0</v>
      </c>
    </row>
    <row r="115" spans="1:24" ht="12.75">
      <c r="A115" s="130">
        <f t="shared" si="3"/>
        <v>41780</v>
      </c>
      <c r="B115" s="131">
        <v>0</v>
      </c>
      <c r="C115" s="131">
        <v>0</v>
      </c>
      <c r="D115" s="131">
        <v>0</v>
      </c>
      <c r="F115" s="131">
        <v>0</v>
      </c>
      <c r="G115" s="131">
        <v>0</v>
      </c>
      <c r="H115" s="131">
        <v>0</v>
      </c>
      <c r="J115" s="131">
        <v>0</v>
      </c>
      <c r="K115" s="131">
        <v>0</v>
      </c>
      <c r="L115" s="131">
        <v>0</v>
      </c>
      <c r="N115" s="131">
        <v>0</v>
      </c>
      <c r="O115" s="131">
        <v>0</v>
      </c>
      <c r="P115" s="131">
        <v>0</v>
      </c>
      <c r="R115" s="131">
        <v>0</v>
      </c>
      <c r="S115" s="131">
        <v>0</v>
      </c>
      <c r="T115" s="131">
        <v>0</v>
      </c>
      <c r="V115" s="131">
        <v>0</v>
      </c>
      <c r="W115" s="132">
        <v>0</v>
      </c>
      <c r="X115" s="132">
        <v>0</v>
      </c>
    </row>
    <row r="116" spans="1:24" ht="12.75">
      <c r="A116" s="130">
        <f t="shared" si="3"/>
        <v>41811</v>
      </c>
      <c r="B116" s="131">
        <v>0</v>
      </c>
      <c r="C116" s="131">
        <v>0</v>
      </c>
      <c r="D116" s="131">
        <v>0</v>
      </c>
      <c r="F116" s="131">
        <v>0</v>
      </c>
      <c r="G116" s="131">
        <v>0</v>
      </c>
      <c r="H116" s="131">
        <v>0</v>
      </c>
      <c r="J116" s="131">
        <v>0</v>
      </c>
      <c r="K116" s="131">
        <v>0</v>
      </c>
      <c r="L116" s="131">
        <v>0</v>
      </c>
      <c r="N116" s="131">
        <v>0</v>
      </c>
      <c r="O116" s="131">
        <v>0</v>
      </c>
      <c r="P116" s="131">
        <v>0</v>
      </c>
      <c r="R116" s="131">
        <v>0</v>
      </c>
      <c r="S116" s="131">
        <v>0</v>
      </c>
      <c r="T116" s="131">
        <v>0</v>
      </c>
      <c r="V116" s="131">
        <v>0</v>
      </c>
      <c r="W116" s="132">
        <v>0</v>
      </c>
      <c r="X116" s="132">
        <v>0</v>
      </c>
    </row>
    <row r="117" spans="1:24" ht="12.75">
      <c r="A117" s="130">
        <f t="shared" si="3"/>
        <v>41841</v>
      </c>
      <c r="B117" s="131">
        <v>0</v>
      </c>
      <c r="C117" s="131">
        <v>0</v>
      </c>
      <c r="D117" s="131">
        <v>0</v>
      </c>
      <c r="F117" s="131">
        <v>0</v>
      </c>
      <c r="G117" s="131">
        <v>0</v>
      </c>
      <c r="H117" s="131">
        <v>0</v>
      </c>
      <c r="J117" s="131">
        <v>0</v>
      </c>
      <c r="K117" s="131">
        <v>0</v>
      </c>
      <c r="L117" s="131">
        <v>0</v>
      </c>
      <c r="N117" s="131">
        <v>0</v>
      </c>
      <c r="O117" s="131">
        <v>0</v>
      </c>
      <c r="P117" s="131">
        <v>0</v>
      </c>
      <c r="R117" s="131">
        <v>0</v>
      </c>
      <c r="S117" s="131">
        <v>0</v>
      </c>
      <c r="T117" s="131">
        <v>0</v>
      </c>
      <c r="V117" s="131">
        <v>0</v>
      </c>
      <c r="W117" s="132">
        <v>0</v>
      </c>
      <c r="X117" s="132">
        <v>0</v>
      </c>
    </row>
    <row r="118" spans="1:24" ht="12.75">
      <c r="A118" s="130">
        <f t="shared" si="3"/>
        <v>41872</v>
      </c>
      <c r="B118" s="131">
        <v>0</v>
      </c>
      <c r="C118" s="131">
        <v>0</v>
      </c>
      <c r="D118" s="131">
        <v>0</v>
      </c>
      <c r="F118" s="131">
        <v>0</v>
      </c>
      <c r="G118" s="131">
        <v>0</v>
      </c>
      <c r="H118" s="131">
        <v>0</v>
      </c>
      <c r="J118" s="131">
        <v>0</v>
      </c>
      <c r="K118" s="131">
        <v>0</v>
      </c>
      <c r="L118" s="131">
        <v>0</v>
      </c>
      <c r="N118" s="131">
        <v>0</v>
      </c>
      <c r="O118" s="131">
        <v>0</v>
      </c>
      <c r="P118" s="131">
        <v>0</v>
      </c>
      <c r="R118" s="131">
        <v>0</v>
      </c>
      <c r="S118" s="131">
        <v>0</v>
      </c>
      <c r="T118" s="131">
        <v>0</v>
      </c>
      <c r="V118" s="131">
        <v>0</v>
      </c>
      <c r="W118" s="132">
        <v>0</v>
      </c>
      <c r="X118" s="132">
        <v>0</v>
      </c>
    </row>
    <row r="119" spans="1:24" ht="12.75">
      <c r="A119" s="130">
        <f t="shared" si="3"/>
        <v>41903</v>
      </c>
      <c r="B119" s="131">
        <v>0</v>
      </c>
      <c r="C119" s="131">
        <v>0</v>
      </c>
      <c r="D119" s="131">
        <v>0</v>
      </c>
      <c r="F119" s="131">
        <v>0</v>
      </c>
      <c r="G119" s="131">
        <v>0</v>
      </c>
      <c r="H119" s="131">
        <v>0</v>
      </c>
      <c r="J119" s="131">
        <v>0</v>
      </c>
      <c r="K119" s="131">
        <v>0</v>
      </c>
      <c r="L119" s="131">
        <v>0</v>
      </c>
      <c r="N119" s="131">
        <v>0</v>
      </c>
      <c r="O119" s="131">
        <v>0</v>
      </c>
      <c r="P119" s="131">
        <v>0</v>
      </c>
      <c r="R119" s="131">
        <v>0</v>
      </c>
      <c r="S119" s="131">
        <v>0</v>
      </c>
      <c r="T119" s="131">
        <v>0</v>
      </c>
      <c r="V119" s="131">
        <v>0</v>
      </c>
      <c r="W119" s="132">
        <v>0</v>
      </c>
      <c r="X119" s="132">
        <v>0</v>
      </c>
    </row>
    <row r="120" spans="1:24" ht="12.75">
      <c r="A120" s="130">
        <f t="shared" si="3"/>
        <v>41933</v>
      </c>
      <c r="B120" s="131">
        <v>0</v>
      </c>
      <c r="C120" s="131">
        <v>0</v>
      </c>
      <c r="D120" s="131">
        <v>0</v>
      </c>
      <c r="F120" s="131">
        <v>0</v>
      </c>
      <c r="G120" s="131">
        <v>0</v>
      </c>
      <c r="H120" s="131">
        <v>0</v>
      </c>
      <c r="J120" s="131">
        <v>0</v>
      </c>
      <c r="K120" s="131">
        <v>0</v>
      </c>
      <c r="L120" s="131">
        <v>0</v>
      </c>
      <c r="N120" s="131">
        <v>0</v>
      </c>
      <c r="O120" s="131">
        <v>0</v>
      </c>
      <c r="P120" s="131">
        <v>0</v>
      </c>
      <c r="R120" s="131">
        <v>0</v>
      </c>
      <c r="S120" s="131">
        <v>0</v>
      </c>
      <c r="T120" s="131">
        <v>0</v>
      </c>
      <c r="V120" s="131">
        <v>0</v>
      </c>
      <c r="W120" s="132">
        <v>0</v>
      </c>
      <c r="X120" s="132">
        <v>0</v>
      </c>
    </row>
    <row r="121" spans="1:24" ht="12.75">
      <c r="A121" s="130">
        <f t="shared" si="3"/>
        <v>41964</v>
      </c>
      <c r="B121" s="131">
        <v>0</v>
      </c>
      <c r="C121" s="131">
        <v>0</v>
      </c>
      <c r="D121" s="131">
        <v>0</v>
      </c>
      <c r="F121" s="131">
        <v>0</v>
      </c>
      <c r="G121" s="131">
        <v>0</v>
      </c>
      <c r="H121" s="131">
        <v>0</v>
      </c>
      <c r="J121" s="131">
        <v>0</v>
      </c>
      <c r="K121" s="131">
        <v>0</v>
      </c>
      <c r="L121" s="131">
        <v>0</v>
      </c>
      <c r="N121" s="131">
        <v>0</v>
      </c>
      <c r="O121" s="131">
        <v>0</v>
      </c>
      <c r="P121" s="131">
        <v>0</v>
      </c>
      <c r="R121" s="131">
        <v>0</v>
      </c>
      <c r="S121" s="131">
        <v>0</v>
      </c>
      <c r="T121" s="131">
        <v>0</v>
      </c>
      <c r="V121" s="131">
        <v>0</v>
      </c>
      <c r="W121" s="132">
        <v>0</v>
      </c>
      <c r="X121" s="132">
        <v>0</v>
      </c>
    </row>
    <row r="122" spans="1:24" ht="12.75">
      <c r="A122" s="130">
        <f t="shared" si="3"/>
        <v>41994</v>
      </c>
      <c r="B122" s="131">
        <v>0</v>
      </c>
      <c r="C122" s="131">
        <v>0</v>
      </c>
      <c r="D122" s="131">
        <v>0</v>
      </c>
      <c r="F122" s="131">
        <v>0</v>
      </c>
      <c r="G122" s="131">
        <v>0</v>
      </c>
      <c r="H122" s="131">
        <v>0</v>
      </c>
      <c r="J122" s="131">
        <v>0</v>
      </c>
      <c r="K122" s="131">
        <v>0</v>
      </c>
      <c r="L122" s="131">
        <v>0</v>
      </c>
      <c r="N122" s="131">
        <v>0</v>
      </c>
      <c r="O122" s="131">
        <v>0</v>
      </c>
      <c r="P122" s="131">
        <v>0</v>
      </c>
      <c r="R122" s="131">
        <v>0</v>
      </c>
      <c r="S122" s="131">
        <v>0</v>
      </c>
      <c r="T122" s="131">
        <v>0</v>
      </c>
      <c r="V122" s="131">
        <v>0</v>
      </c>
      <c r="W122" s="132">
        <v>0</v>
      </c>
      <c r="X122" s="132">
        <v>0</v>
      </c>
    </row>
    <row r="123" spans="1:24" ht="12.75">
      <c r="A123" s="130">
        <f t="shared" si="3"/>
        <v>42025</v>
      </c>
      <c r="B123" s="131">
        <v>0</v>
      </c>
      <c r="C123" s="131">
        <v>0</v>
      </c>
      <c r="D123" s="131">
        <v>0</v>
      </c>
      <c r="F123" s="131">
        <v>0</v>
      </c>
      <c r="G123" s="131">
        <v>0</v>
      </c>
      <c r="H123" s="131">
        <v>0</v>
      </c>
      <c r="J123" s="131">
        <v>0</v>
      </c>
      <c r="K123" s="131">
        <v>0</v>
      </c>
      <c r="L123" s="131">
        <v>0</v>
      </c>
      <c r="N123" s="131">
        <v>0</v>
      </c>
      <c r="O123" s="131">
        <v>0</v>
      </c>
      <c r="P123" s="131">
        <v>0</v>
      </c>
      <c r="R123" s="131">
        <v>0</v>
      </c>
      <c r="S123" s="131">
        <v>0</v>
      </c>
      <c r="T123" s="131">
        <v>0</v>
      </c>
      <c r="V123" s="131">
        <v>0</v>
      </c>
      <c r="W123" s="132">
        <v>0</v>
      </c>
      <c r="X123" s="132">
        <v>0</v>
      </c>
    </row>
    <row r="124" spans="1:24" ht="12.75">
      <c r="A124" s="130">
        <f t="shared" si="3"/>
        <v>42056</v>
      </c>
      <c r="B124" s="131">
        <v>0</v>
      </c>
      <c r="C124" s="131">
        <v>0</v>
      </c>
      <c r="D124" s="131">
        <v>0</v>
      </c>
      <c r="F124" s="131">
        <v>0</v>
      </c>
      <c r="G124" s="131">
        <v>0</v>
      </c>
      <c r="H124" s="131">
        <v>0</v>
      </c>
      <c r="J124" s="131">
        <v>0</v>
      </c>
      <c r="K124" s="131">
        <v>0</v>
      </c>
      <c r="L124" s="131">
        <v>0</v>
      </c>
      <c r="N124" s="131">
        <v>0</v>
      </c>
      <c r="O124" s="131">
        <v>0</v>
      </c>
      <c r="P124" s="131">
        <v>0</v>
      </c>
      <c r="R124" s="131">
        <v>0</v>
      </c>
      <c r="S124" s="131">
        <v>0</v>
      </c>
      <c r="T124" s="131">
        <v>0</v>
      </c>
      <c r="V124" s="131">
        <v>0</v>
      </c>
      <c r="W124" s="132">
        <v>0</v>
      </c>
      <c r="X124" s="132">
        <v>0</v>
      </c>
    </row>
    <row r="125" spans="1:24" ht="12.75">
      <c r="A125" s="130">
        <f t="shared" si="3"/>
        <v>42084</v>
      </c>
      <c r="B125" s="131">
        <v>0</v>
      </c>
      <c r="C125" s="131">
        <v>0</v>
      </c>
      <c r="D125" s="131">
        <v>0</v>
      </c>
      <c r="F125" s="131">
        <v>0</v>
      </c>
      <c r="G125" s="131">
        <v>0</v>
      </c>
      <c r="H125" s="131">
        <v>0</v>
      </c>
      <c r="J125" s="131">
        <v>0</v>
      </c>
      <c r="K125" s="131">
        <v>0</v>
      </c>
      <c r="L125" s="131">
        <v>0</v>
      </c>
      <c r="N125" s="131">
        <v>0</v>
      </c>
      <c r="O125" s="131">
        <v>0</v>
      </c>
      <c r="P125" s="131">
        <v>0</v>
      </c>
      <c r="R125" s="131">
        <v>0</v>
      </c>
      <c r="S125" s="131">
        <v>0</v>
      </c>
      <c r="T125" s="131">
        <v>0</v>
      </c>
      <c r="V125" s="131">
        <v>0</v>
      </c>
      <c r="W125" s="132">
        <v>0</v>
      </c>
      <c r="X125" s="132">
        <v>0</v>
      </c>
    </row>
    <row r="126" spans="1:24" ht="12.75">
      <c r="A126" s="130">
        <f t="shared" si="3"/>
        <v>42115</v>
      </c>
      <c r="B126" s="131">
        <v>0</v>
      </c>
      <c r="C126" s="131">
        <v>0</v>
      </c>
      <c r="D126" s="131">
        <v>0</v>
      </c>
      <c r="F126" s="131">
        <v>0</v>
      </c>
      <c r="G126" s="131">
        <v>0</v>
      </c>
      <c r="H126" s="131">
        <v>0</v>
      </c>
      <c r="J126" s="131">
        <v>0</v>
      </c>
      <c r="K126" s="131">
        <v>0</v>
      </c>
      <c r="L126" s="131">
        <v>0</v>
      </c>
      <c r="N126" s="131">
        <v>0</v>
      </c>
      <c r="O126" s="131">
        <v>0</v>
      </c>
      <c r="P126" s="131">
        <v>0</v>
      </c>
      <c r="R126" s="131">
        <v>0</v>
      </c>
      <c r="S126" s="131">
        <v>0</v>
      </c>
      <c r="T126" s="131">
        <v>0</v>
      </c>
      <c r="V126" s="131">
        <v>0</v>
      </c>
      <c r="W126" s="132">
        <v>0</v>
      </c>
      <c r="X126" s="132">
        <v>0</v>
      </c>
    </row>
    <row r="127" spans="1:24" ht="12.75">
      <c r="A127" s="130">
        <f t="shared" si="3"/>
        <v>42145</v>
      </c>
      <c r="B127" s="131">
        <v>0</v>
      </c>
      <c r="C127" s="131">
        <v>0</v>
      </c>
      <c r="D127" s="131">
        <v>0</v>
      </c>
      <c r="F127" s="131">
        <v>0</v>
      </c>
      <c r="G127" s="131">
        <v>0</v>
      </c>
      <c r="H127" s="131">
        <v>0</v>
      </c>
      <c r="J127" s="131">
        <v>0</v>
      </c>
      <c r="K127" s="131">
        <v>0</v>
      </c>
      <c r="L127" s="131">
        <v>0</v>
      </c>
      <c r="N127" s="131">
        <v>0</v>
      </c>
      <c r="O127" s="131">
        <v>0</v>
      </c>
      <c r="P127" s="131">
        <v>0</v>
      </c>
      <c r="R127" s="131">
        <v>0</v>
      </c>
      <c r="S127" s="131">
        <v>0</v>
      </c>
      <c r="T127" s="131">
        <v>0</v>
      </c>
      <c r="V127" s="131">
        <v>0</v>
      </c>
      <c r="W127" s="132">
        <v>0</v>
      </c>
      <c r="X127" s="132">
        <v>0</v>
      </c>
    </row>
    <row r="128" spans="1:24" ht="12.75">
      <c r="A128" s="130">
        <f t="shared" si="3"/>
        <v>42176</v>
      </c>
      <c r="B128" s="131">
        <v>0</v>
      </c>
      <c r="C128" s="131">
        <v>0</v>
      </c>
      <c r="D128" s="131">
        <v>0</v>
      </c>
      <c r="F128" s="131">
        <v>0</v>
      </c>
      <c r="G128" s="131">
        <v>0</v>
      </c>
      <c r="H128" s="131">
        <v>0</v>
      </c>
      <c r="J128" s="131">
        <v>0</v>
      </c>
      <c r="K128" s="131">
        <v>0</v>
      </c>
      <c r="L128" s="131">
        <v>0</v>
      </c>
      <c r="N128" s="131">
        <v>0</v>
      </c>
      <c r="O128" s="131">
        <v>0</v>
      </c>
      <c r="P128" s="131">
        <v>0</v>
      </c>
      <c r="R128" s="131">
        <v>0</v>
      </c>
      <c r="S128" s="131">
        <v>0</v>
      </c>
      <c r="T128" s="131">
        <v>0</v>
      </c>
      <c r="V128" s="131">
        <v>0</v>
      </c>
      <c r="W128" s="132">
        <v>0</v>
      </c>
      <c r="X128" s="132">
        <v>0</v>
      </c>
    </row>
    <row r="129" spans="1:24" ht="12.75">
      <c r="A129" s="130">
        <f t="shared" si="3"/>
        <v>42206</v>
      </c>
      <c r="B129" s="131">
        <v>0</v>
      </c>
      <c r="C129" s="131">
        <v>0</v>
      </c>
      <c r="D129" s="131">
        <v>0</v>
      </c>
      <c r="F129" s="131">
        <v>0</v>
      </c>
      <c r="G129" s="131">
        <v>0</v>
      </c>
      <c r="H129" s="131">
        <v>0</v>
      </c>
      <c r="J129" s="131">
        <v>0</v>
      </c>
      <c r="K129" s="131">
        <v>0</v>
      </c>
      <c r="L129" s="131">
        <v>0</v>
      </c>
      <c r="N129" s="131">
        <v>0</v>
      </c>
      <c r="O129" s="131">
        <v>0</v>
      </c>
      <c r="P129" s="131">
        <v>0</v>
      </c>
      <c r="R129" s="131">
        <v>0</v>
      </c>
      <c r="S129" s="131">
        <v>0</v>
      </c>
      <c r="T129" s="131">
        <v>0</v>
      </c>
      <c r="V129" s="131">
        <v>0</v>
      </c>
      <c r="W129" s="132">
        <v>0</v>
      </c>
      <c r="X129" s="132">
        <v>0</v>
      </c>
    </row>
    <row r="130" spans="1:24" ht="12.75">
      <c r="A130" s="130">
        <f t="shared" si="3"/>
        <v>42237</v>
      </c>
      <c r="B130" s="131">
        <v>0</v>
      </c>
      <c r="C130" s="131">
        <v>0</v>
      </c>
      <c r="D130" s="131">
        <v>0</v>
      </c>
      <c r="F130" s="131">
        <v>0</v>
      </c>
      <c r="G130" s="131">
        <v>0</v>
      </c>
      <c r="H130" s="131">
        <v>0</v>
      </c>
      <c r="J130" s="131">
        <v>0</v>
      </c>
      <c r="K130" s="131">
        <v>0</v>
      </c>
      <c r="L130" s="131">
        <v>0</v>
      </c>
      <c r="N130" s="131">
        <v>0</v>
      </c>
      <c r="O130" s="131">
        <v>0</v>
      </c>
      <c r="P130" s="131">
        <v>0</v>
      </c>
      <c r="R130" s="131">
        <v>0</v>
      </c>
      <c r="S130" s="131">
        <v>0</v>
      </c>
      <c r="T130" s="131">
        <v>0</v>
      </c>
      <c r="V130" s="131">
        <v>0</v>
      </c>
      <c r="W130" s="132">
        <v>0</v>
      </c>
      <c r="X130" s="132">
        <v>0</v>
      </c>
    </row>
    <row r="131" spans="1:24" ht="12.75">
      <c r="A131" s="130">
        <f t="shared" si="3"/>
        <v>42268</v>
      </c>
      <c r="B131" s="131">
        <v>0</v>
      </c>
      <c r="C131" s="131">
        <v>0</v>
      </c>
      <c r="D131" s="131">
        <v>0</v>
      </c>
      <c r="F131" s="131">
        <v>0</v>
      </c>
      <c r="G131" s="131">
        <v>0</v>
      </c>
      <c r="H131" s="131">
        <v>0</v>
      </c>
      <c r="J131" s="131">
        <v>0</v>
      </c>
      <c r="K131" s="131">
        <v>0</v>
      </c>
      <c r="L131" s="131">
        <v>0</v>
      </c>
      <c r="N131" s="131">
        <v>0</v>
      </c>
      <c r="O131" s="131">
        <v>0</v>
      </c>
      <c r="P131" s="131">
        <v>0</v>
      </c>
      <c r="R131" s="131">
        <v>0</v>
      </c>
      <c r="S131" s="131">
        <v>0</v>
      </c>
      <c r="T131" s="131">
        <v>0</v>
      </c>
      <c r="V131" s="131">
        <v>0</v>
      </c>
      <c r="W131" s="132">
        <v>0</v>
      </c>
      <c r="X131" s="132">
        <v>0</v>
      </c>
    </row>
    <row r="132" spans="1:24" ht="12.75">
      <c r="A132" s="130">
        <f aca="true" t="shared" si="4" ref="A132:A163">+_XLL.FECHA.MES(A131,1)</f>
        <v>42298</v>
      </c>
      <c r="B132" s="131">
        <v>0</v>
      </c>
      <c r="C132" s="131">
        <v>0</v>
      </c>
      <c r="D132" s="131">
        <v>0</v>
      </c>
      <c r="F132" s="131">
        <v>0</v>
      </c>
      <c r="G132" s="131">
        <v>0</v>
      </c>
      <c r="H132" s="131">
        <v>0</v>
      </c>
      <c r="J132" s="131">
        <v>0</v>
      </c>
      <c r="K132" s="131">
        <v>0</v>
      </c>
      <c r="L132" s="131">
        <v>0</v>
      </c>
      <c r="N132" s="131">
        <v>0</v>
      </c>
      <c r="O132" s="131">
        <v>0</v>
      </c>
      <c r="P132" s="131">
        <v>0</v>
      </c>
      <c r="R132" s="131">
        <v>0</v>
      </c>
      <c r="S132" s="131">
        <v>0</v>
      </c>
      <c r="T132" s="131">
        <v>0</v>
      </c>
      <c r="V132" s="131">
        <v>0</v>
      </c>
      <c r="W132" s="132">
        <v>0</v>
      </c>
      <c r="X132" s="132">
        <v>0</v>
      </c>
    </row>
    <row r="133" spans="1:24" ht="12.75">
      <c r="A133" s="130">
        <f t="shared" si="4"/>
        <v>42329</v>
      </c>
      <c r="B133" s="131">
        <v>0</v>
      </c>
      <c r="C133" s="131">
        <v>0</v>
      </c>
      <c r="D133" s="131">
        <v>0</v>
      </c>
      <c r="F133" s="131">
        <v>0</v>
      </c>
      <c r="G133" s="131">
        <v>0</v>
      </c>
      <c r="H133" s="131">
        <v>0</v>
      </c>
      <c r="J133" s="131">
        <v>0</v>
      </c>
      <c r="K133" s="131">
        <v>0</v>
      </c>
      <c r="L133" s="131">
        <v>0</v>
      </c>
      <c r="N133" s="131">
        <v>0</v>
      </c>
      <c r="O133" s="131">
        <v>0</v>
      </c>
      <c r="P133" s="131">
        <v>0</v>
      </c>
      <c r="R133" s="131">
        <v>0</v>
      </c>
      <c r="S133" s="131">
        <v>0</v>
      </c>
      <c r="T133" s="131">
        <v>0</v>
      </c>
      <c r="V133" s="131">
        <v>0</v>
      </c>
      <c r="W133" s="132">
        <v>0</v>
      </c>
      <c r="X133" s="132">
        <v>0</v>
      </c>
    </row>
    <row r="134" spans="1:24" ht="12.75">
      <c r="A134" s="130">
        <f t="shared" si="4"/>
        <v>42359</v>
      </c>
      <c r="B134" s="131">
        <v>0</v>
      </c>
      <c r="C134" s="131">
        <v>0</v>
      </c>
      <c r="D134" s="131">
        <v>0</v>
      </c>
      <c r="F134" s="131">
        <v>0</v>
      </c>
      <c r="G134" s="131">
        <v>0</v>
      </c>
      <c r="H134" s="131">
        <v>0</v>
      </c>
      <c r="J134" s="131">
        <v>0</v>
      </c>
      <c r="K134" s="131">
        <v>0</v>
      </c>
      <c r="L134" s="131">
        <v>0</v>
      </c>
      <c r="N134" s="131">
        <v>0</v>
      </c>
      <c r="O134" s="131">
        <v>0</v>
      </c>
      <c r="P134" s="131">
        <v>0</v>
      </c>
      <c r="R134" s="131">
        <v>0</v>
      </c>
      <c r="S134" s="131">
        <v>0</v>
      </c>
      <c r="T134" s="131">
        <v>0</v>
      </c>
      <c r="V134" s="131">
        <v>0</v>
      </c>
      <c r="W134" s="132">
        <v>0</v>
      </c>
      <c r="X134" s="132">
        <v>0</v>
      </c>
    </row>
    <row r="135" spans="1:24" ht="12.75">
      <c r="A135" s="130">
        <f t="shared" si="4"/>
        <v>42390</v>
      </c>
      <c r="B135" s="131">
        <v>0</v>
      </c>
      <c r="C135" s="131">
        <v>0</v>
      </c>
      <c r="D135" s="131">
        <v>0</v>
      </c>
      <c r="F135" s="131">
        <v>0</v>
      </c>
      <c r="G135" s="131">
        <v>0</v>
      </c>
      <c r="H135" s="131">
        <v>0</v>
      </c>
      <c r="J135" s="131">
        <v>0</v>
      </c>
      <c r="K135" s="131">
        <v>0</v>
      </c>
      <c r="L135" s="131">
        <v>0</v>
      </c>
      <c r="N135" s="131">
        <v>0</v>
      </c>
      <c r="O135" s="131">
        <v>0</v>
      </c>
      <c r="P135" s="131">
        <v>0</v>
      </c>
      <c r="R135" s="131">
        <v>0</v>
      </c>
      <c r="S135" s="131">
        <v>0</v>
      </c>
      <c r="T135" s="131">
        <v>0</v>
      </c>
      <c r="V135" s="131">
        <v>0</v>
      </c>
      <c r="W135" s="132">
        <v>0</v>
      </c>
      <c r="X135" s="132">
        <v>0</v>
      </c>
    </row>
    <row r="136" spans="1:24" ht="12.75">
      <c r="A136" s="130">
        <f t="shared" si="4"/>
        <v>42421</v>
      </c>
      <c r="B136" s="131">
        <v>0</v>
      </c>
      <c r="C136" s="131">
        <v>0</v>
      </c>
      <c r="D136" s="131">
        <v>0</v>
      </c>
      <c r="F136" s="131">
        <v>0</v>
      </c>
      <c r="G136" s="131">
        <v>0</v>
      </c>
      <c r="H136" s="131">
        <v>0</v>
      </c>
      <c r="J136" s="131">
        <v>0</v>
      </c>
      <c r="K136" s="131">
        <v>0</v>
      </c>
      <c r="L136" s="131">
        <v>0</v>
      </c>
      <c r="N136" s="131">
        <v>0</v>
      </c>
      <c r="O136" s="131">
        <v>0</v>
      </c>
      <c r="P136" s="131">
        <v>0</v>
      </c>
      <c r="R136" s="131">
        <v>0</v>
      </c>
      <c r="S136" s="131">
        <v>0</v>
      </c>
      <c r="T136" s="131">
        <v>0</v>
      </c>
      <c r="V136" s="131">
        <v>0</v>
      </c>
      <c r="W136" s="132">
        <v>0</v>
      </c>
      <c r="X136" s="132">
        <v>0</v>
      </c>
    </row>
    <row r="137" spans="1:24" ht="12.75">
      <c r="A137" s="130">
        <f t="shared" si="4"/>
        <v>42450</v>
      </c>
      <c r="B137" s="131">
        <v>0</v>
      </c>
      <c r="C137" s="131">
        <v>0</v>
      </c>
      <c r="D137" s="131">
        <v>0</v>
      </c>
      <c r="F137" s="131">
        <v>0</v>
      </c>
      <c r="G137" s="131">
        <v>0</v>
      </c>
      <c r="H137" s="131">
        <v>0</v>
      </c>
      <c r="J137" s="131">
        <v>0</v>
      </c>
      <c r="K137" s="131">
        <v>0</v>
      </c>
      <c r="L137" s="131">
        <v>0</v>
      </c>
      <c r="N137" s="131">
        <v>0</v>
      </c>
      <c r="O137" s="131">
        <v>0</v>
      </c>
      <c r="P137" s="131">
        <v>0</v>
      </c>
      <c r="R137" s="131">
        <v>0</v>
      </c>
      <c r="S137" s="131">
        <v>0</v>
      </c>
      <c r="T137" s="131">
        <v>0</v>
      </c>
      <c r="V137" s="131">
        <v>0</v>
      </c>
      <c r="W137" s="132">
        <v>0</v>
      </c>
      <c r="X137" s="132">
        <v>0</v>
      </c>
    </row>
    <row r="138" spans="1:24" ht="12.75">
      <c r="A138" s="130">
        <f t="shared" si="4"/>
        <v>42481</v>
      </c>
      <c r="B138" s="131">
        <v>0</v>
      </c>
      <c r="C138" s="131">
        <v>0</v>
      </c>
      <c r="D138" s="131">
        <v>0</v>
      </c>
      <c r="F138" s="131">
        <v>0</v>
      </c>
      <c r="G138" s="131">
        <v>0</v>
      </c>
      <c r="H138" s="131">
        <v>0</v>
      </c>
      <c r="J138" s="131">
        <v>0</v>
      </c>
      <c r="K138" s="131">
        <v>0</v>
      </c>
      <c r="L138" s="131">
        <v>0</v>
      </c>
      <c r="N138" s="131">
        <v>0</v>
      </c>
      <c r="O138" s="131">
        <v>0</v>
      </c>
      <c r="P138" s="131">
        <v>0</v>
      </c>
      <c r="R138" s="131">
        <v>0</v>
      </c>
      <c r="S138" s="131">
        <v>0</v>
      </c>
      <c r="T138" s="131">
        <v>0</v>
      </c>
      <c r="V138" s="131">
        <v>0</v>
      </c>
      <c r="W138" s="132">
        <v>0</v>
      </c>
      <c r="X138" s="132">
        <v>0</v>
      </c>
    </row>
    <row r="139" spans="1:24" ht="12.75">
      <c r="A139" s="130">
        <f t="shared" si="4"/>
        <v>42511</v>
      </c>
      <c r="B139" s="131">
        <v>0</v>
      </c>
      <c r="C139" s="131">
        <v>0</v>
      </c>
      <c r="D139" s="131">
        <v>0</v>
      </c>
      <c r="F139" s="131">
        <v>0</v>
      </c>
      <c r="G139" s="131">
        <v>0</v>
      </c>
      <c r="H139" s="131">
        <v>0</v>
      </c>
      <c r="J139" s="131">
        <v>0</v>
      </c>
      <c r="K139" s="131">
        <v>0</v>
      </c>
      <c r="L139" s="131">
        <v>0</v>
      </c>
      <c r="N139" s="131">
        <v>0</v>
      </c>
      <c r="O139" s="131">
        <v>0</v>
      </c>
      <c r="P139" s="131">
        <v>0</v>
      </c>
      <c r="R139" s="131">
        <v>0</v>
      </c>
      <c r="S139" s="131">
        <v>0</v>
      </c>
      <c r="T139" s="131">
        <v>0</v>
      </c>
      <c r="V139" s="131">
        <v>0</v>
      </c>
      <c r="W139" s="132">
        <v>0</v>
      </c>
      <c r="X139" s="132">
        <v>0</v>
      </c>
    </row>
    <row r="140" spans="1:24" ht="12.75">
      <c r="A140" s="130">
        <f t="shared" si="4"/>
        <v>42542</v>
      </c>
      <c r="B140" s="131">
        <v>0</v>
      </c>
      <c r="C140" s="131">
        <v>0</v>
      </c>
      <c r="D140" s="131">
        <v>0</v>
      </c>
      <c r="F140" s="131">
        <v>0</v>
      </c>
      <c r="G140" s="131">
        <v>0</v>
      </c>
      <c r="H140" s="131">
        <v>0</v>
      </c>
      <c r="J140" s="131">
        <v>0</v>
      </c>
      <c r="K140" s="131">
        <v>0</v>
      </c>
      <c r="L140" s="131">
        <v>0</v>
      </c>
      <c r="N140" s="131">
        <v>0</v>
      </c>
      <c r="O140" s="131">
        <v>0</v>
      </c>
      <c r="P140" s="131">
        <v>0</v>
      </c>
      <c r="R140" s="131">
        <v>0</v>
      </c>
      <c r="S140" s="131">
        <v>0</v>
      </c>
      <c r="T140" s="131">
        <v>0</v>
      </c>
      <c r="V140" s="131">
        <v>0</v>
      </c>
      <c r="W140" s="132">
        <v>0</v>
      </c>
      <c r="X140" s="132">
        <v>0</v>
      </c>
    </row>
    <row r="141" spans="1:24" ht="12.75">
      <c r="A141" s="130">
        <f t="shared" si="4"/>
        <v>42572</v>
      </c>
      <c r="B141" s="131">
        <v>0</v>
      </c>
      <c r="C141" s="131">
        <v>0</v>
      </c>
      <c r="D141" s="131">
        <v>0</v>
      </c>
      <c r="F141" s="131">
        <v>0</v>
      </c>
      <c r="G141" s="131">
        <v>0</v>
      </c>
      <c r="H141" s="131">
        <v>0</v>
      </c>
      <c r="J141" s="131">
        <v>0</v>
      </c>
      <c r="K141" s="131">
        <v>0</v>
      </c>
      <c r="L141" s="131">
        <v>0</v>
      </c>
      <c r="N141" s="131">
        <v>0</v>
      </c>
      <c r="O141" s="131">
        <v>0</v>
      </c>
      <c r="P141" s="131">
        <v>0</v>
      </c>
      <c r="R141" s="131">
        <v>0</v>
      </c>
      <c r="S141" s="131">
        <v>0</v>
      </c>
      <c r="T141" s="131">
        <v>0</v>
      </c>
      <c r="V141" s="131">
        <v>0</v>
      </c>
      <c r="W141" s="132">
        <v>0</v>
      </c>
      <c r="X141" s="132">
        <v>0</v>
      </c>
    </row>
    <row r="142" spans="1:24" ht="12.75">
      <c r="A142" s="130">
        <f t="shared" si="4"/>
        <v>42603</v>
      </c>
      <c r="B142" s="131">
        <v>0</v>
      </c>
      <c r="C142" s="131">
        <v>0</v>
      </c>
      <c r="D142" s="131">
        <v>0</v>
      </c>
      <c r="F142" s="131">
        <v>0</v>
      </c>
      <c r="G142" s="131">
        <v>0</v>
      </c>
      <c r="H142" s="131">
        <v>0</v>
      </c>
      <c r="J142" s="131">
        <v>0</v>
      </c>
      <c r="K142" s="131">
        <v>0</v>
      </c>
      <c r="L142" s="131">
        <v>0</v>
      </c>
      <c r="N142" s="131">
        <v>0</v>
      </c>
      <c r="O142" s="131">
        <v>0</v>
      </c>
      <c r="P142" s="131">
        <v>0</v>
      </c>
      <c r="R142" s="131">
        <v>0</v>
      </c>
      <c r="S142" s="131">
        <v>0</v>
      </c>
      <c r="T142" s="131">
        <v>0</v>
      </c>
      <c r="V142" s="131">
        <v>0</v>
      </c>
      <c r="W142" s="132">
        <v>0</v>
      </c>
      <c r="X142" s="132">
        <v>0</v>
      </c>
    </row>
    <row r="143" spans="1:24" ht="12.75">
      <c r="A143" s="130">
        <f t="shared" si="4"/>
        <v>42634</v>
      </c>
      <c r="B143" s="131">
        <v>0</v>
      </c>
      <c r="C143" s="131">
        <v>0</v>
      </c>
      <c r="D143" s="131">
        <v>0</v>
      </c>
      <c r="F143" s="131">
        <v>0</v>
      </c>
      <c r="G143" s="131">
        <v>0</v>
      </c>
      <c r="H143" s="131">
        <v>0</v>
      </c>
      <c r="J143" s="131">
        <v>0</v>
      </c>
      <c r="K143" s="131">
        <v>0</v>
      </c>
      <c r="L143" s="131">
        <v>0</v>
      </c>
      <c r="N143" s="131">
        <v>0</v>
      </c>
      <c r="O143" s="131">
        <v>0</v>
      </c>
      <c r="P143" s="131">
        <v>0</v>
      </c>
      <c r="R143" s="131">
        <v>0</v>
      </c>
      <c r="S143" s="131">
        <v>0</v>
      </c>
      <c r="T143" s="131">
        <v>0</v>
      </c>
      <c r="V143" s="131">
        <v>0</v>
      </c>
      <c r="W143" s="132">
        <v>0</v>
      </c>
      <c r="X143" s="132">
        <v>0</v>
      </c>
    </row>
    <row r="144" spans="1:24" ht="12.75">
      <c r="A144" s="130">
        <f t="shared" si="4"/>
        <v>42664</v>
      </c>
      <c r="B144" s="131">
        <v>0</v>
      </c>
      <c r="C144" s="131">
        <v>0</v>
      </c>
      <c r="D144" s="131">
        <v>0</v>
      </c>
      <c r="F144" s="131">
        <v>0</v>
      </c>
      <c r="G144" s="131">
        <v>0</v>
      </c>
      <c r="H144" s="131">
        <v>0</v>
      </c>
      <c r="J144" s="131">
        <v>0</v>
      </c>
      <c r="K144" s="131">
        <v>0</v>
      </c>
      <c r="L144" s="131">
        <v>0</v>
      </c>
      <c r="N144" s="131">
        <v>0</v>
      </c>
      <c r="O144" s="131">
        <v>0</v>
      </c>
      <c r="P144" s="131">
        <v>0</v>
      </c>
      <c r="R144" s="131">
        <v>0</v>
      </c>
      <c r="S144" s="131">
        <v>0</v>
      </c>
      <c r="T144" s="131">
        <v>0</v>
      </c>
      <c r="V144" s="131">
        <v>0</v>
      </c>
      <c r="W144" s="132">
        <v>0</v>
      </c>
      <c r="X144" s="132">
        <v>0</v>
      </c>
    </row>
    <row r="145" spans="1:24" ht="12.75">
      <c r="A145" s="130">
        <f t="shared" si="4"/>
        <v>42695</v>
      </c>
      <c r="B145" s="131">
        <v>0</v>
      </c>
      <c r="C145" s="131">
        <v>0</v>
      </c>
      <c r="D145" s="131">
        <v>0</v>
      </c>
      <c r="F145" s="131">
        <v>0</v>
      </c>
      <c r="G145" s="131">
        <v>0</v>
      </c>
      <c r="H145" s="131">
        <v>0</v>
      </c>
      <c r="J145" s="131">
        <v>0</v>
      </c>
      <c r="K145" s="131">
        <v>0</v>
      </c>
      <c r="L145" s="131">
        <v>0</v>
      </c>
      <c r="N145" s="131">
        <v>0</v>
      </c>
      <c r="O145" s="131">
        <v>0</v>
      </c>
      <c r="P145" s="131">
        <v>0</v>
      </c>
      <c r="R145" s="131">
        <v>0</v>
      </c>
      <c r="S145" s="131">
        <v>0</v>
      </c>
      <c r="T145" s="131">
        <v>0</v>
      </c>
      <c r="V145" s="131">
        <v>0</v>
      </c>
      <c r="W145" s="132">
        <v>0</v>
      </c>
      <c r="X145" s="132">
        <v>0</v>
      </c>
    </row>
    <row r="146" spans="1:24" ht="12.75">
      <c r="A146" s="130">
        <f t="shared" si="4"/>
        <v>42725</v>
      </c>
      <c r="B146" s="131">
        <v>0</v>
      </c>
      <c r="C146" s="131">
        <v>0</v>
      </c>
      <c r="D146" s="131">
        <v>0</v>
      </c>
      <c r="F146" s="131">
        <v>0</v>
      </c>
      <c r="G146" s="131">
        <v>0</v>
      </c>
      <c r="H146" s="131">
        <v>0</v>
      </c>
      <c r="J146" s="131">
        <v>0</v>
      </c>
      <c r="K146" s="131">
        <v>0</v>
      </c>
      <c r="L146" s="131">
        <v>0</v>
      </c>
      <c r="N146" s="131">
        <v>0</v>
      </c>
      <c r="O146" s="131">
        <v>0</v>
      </c>
      <c r="P146" s="131">
        <v>0</v>
      </c>
      <c r="R146" s="131">
        <v>0</v>
      </c>
      <c r="S146" s="131">
        <v>0</v>
      </c>
      <c r="T146" s="131">
        <v>0</v>
      </c>
      <c r="V146" s="131">
        <v>0</v>
      </c>
      <c r="W146" s="132">
        <v>0</v>
      </c>
      <c r="X146" s="132">
        <v>0</v>
      </c>
    </row>
    <row r="147" spans="1:24" ht="12.75">
      <c r="A147" s="130">
        <f t="shared" si="4"/>
        <v>42756</v>
      </c>
      <c r="B147" s="131">
        <v>0</v>
      </c>
      <c r="C147" s="131">
        <v>0</v>
      </c>
      <c r="D147" s="131">
        <v>0</v>
      </c>
      <c r="F147" s="131">
        <v>0</v>
      </c>
      <c r="G147" s="131">
        <v>0</v>
      </c>
      <c r="H147" s="131">
        <v>0</v>
      </c>
      <c r="J147" s="131">
        <v>0</v>
      </c>
      <c r="K147" s="131">
        <v>0</v>
      </c>
      <c r="L147" s="131">
        <v>0</v>
      </c>
      <c r="N147" s="131">
        <v>0</v>
      </c>
      <c r="O147" s="131">
        <v>0</v>
      </c>
      <c r="P147" s="131">
        <v>0</v>
      </c>
      <c r="R147" s="131">
        <v>0</v>
      </c>
      <c r="S147" s="131">
        <v>0</v>
      </c>
      <c r="T147" s="131">
        <v>0</v>
      </c>
      <c r="V147" s="131">
        <v>0</v>
      </c>
      <c r="W147" s="132">
        <v>0</v>
      </c>
      <c r="X147" s="132">
        <v>0</v>
      </c>
    </row>
    <row r="148" spans="1:24" ht="12.75">
      <c r="A148" s="130">
        <f t="shared" si="4"/>
        <v>42787</v>
      </c>
      <c r="B148" s="131">
        <v>0</v>
      </c>
      <c r="C148" s="131">
        <v>0</v>
      </c>
      <c r="D148" s="131">
        <v>0</v>
      </c>
      <c r="F148" s="131">
        <v>0</v>
      </c>
      <c r="G148" s="131">
        <v>0</v>
      </c>
      <c r="H148" s="131">
        <v>0</v>
      </c>
      <c r="J148" s="131">
        <v>0</v>
      </c>
      <c r="K148" s="131">
        <v>0</v>
      </c>
      <c r="L148" s="131">
        <v>0</v>
      </c>
      <c r="N148" s="131">
        <v>0</v>
      </c>
      <c r="O148" s="131">
        <v>0</v>
      </c>
      <c r="P148" s="131">
        <v>0</v>
      </c>
      <c r="R148" s="131">
        <v>0</v>
      </c>
      <c r="S148" s="131">
        <v>0</v>
      </c>
      <c r="T148" s="131">
        <v>0</v>
      </c>
      <c r="V148" s="131">
        <v>0</v>
      </c>
      <c r="W148" s="132">
        <v>0</v>
      </c>
      <c r="X148" s="132">
        <v>0</v>
      </c>
    </row>
    <row r="149" spans="1:24" ht="12.75">
      <c r="A149" s="130">
        <f t="shared" si="4"/>
        <v>42815</v>
      </c>
      <c r="B149" s="131">
        <v>0</v>
      </c>
      <c r="C149" s="131">
        <v>0</v>
      </c>
      <c r="D149" s="131">
        <v>0</v>
      </c>
      <c r="F149" s="131">
        <v>0</v>
      </c>
      <c r="G149" s="131">
        <v>0</v>
      </c>
      <c r="H149" s="131">
        <v>0</v>
      </c>
      <c r="J149" s="131">
        <v>0</v>
      </c>
      <c r="K149" s="131">
        <v>0</v>
      </c>
      <c r="L149" s="131">
        <v>0</v>
      </c>
      <c r="N149" s="131">
        <v>0</v>
      </c>
      <c r="O149" s="131">
        <v>0</v>
      </c>
      <c r="P149" s="131">
        <v>0</v>
      </c>
      <c r="R149" s="131">
        <v>0</v>
      </c>
      <c r="S149" s="131">
        <v>0</v>
      </c>
      <c r="T149" s="131">
        <v>0</v>
      </c>
      <c r="V149" s="131">
        <v>0</v>
      </c>
      <c r="W149" s="132">
        <v>0</v>
      </c>
      <c r="X149" s="132">
        <v>0</v>
      </c>
    </row>
    <row r="150" spans="1:24" ht="12.75">
      <c r="A150" s="130">
        <f t="shared" si="4"/>
        <v>42846</v>
      </c>
      <c r="B150" s="131">
        <v>0</v>
      </c>
      <c r="C150" s="131">
        <v>0</v>
      </c>
      <c r="D150" s="131">
        <v>0</v>
      </c>
      <c r="F150" s="131">
        <v>0</v>
      </c>
      <c r="G150" s="131">
        <v>0</v>
      </c>
      <c r="H150" s="131">
        <v>0</v>
      </c>
      <c r="J150" s="131">
        <v>0</v>
      </c>
      <c r="K150" s="131">
        <v>0</v>
      </c>
      <c r="L150" s="131">
        <v>0</v>
      </c>
      <c r="N150" s="131">
        <v>0</v>
      </c>
      <c r="O150" s="131">
        <v>0</v>
      </c>
      <c r="P150" s="131">
        <v>0</v>
      </c>
      <c r="R150" s="131">
        <v>0</v>
      </c>
      <c r="S150" s="131">
        <v>0</v>
      </c>
      <c r="T150" s="131">
        <v>0</v>
      </c>
      <c r="V150" s="131">
        <v>0</v>
      </c>
      <c r="W150" s="132">
        <v>0</v>
      </c>
      <c r="X150" s="132">
        <v>0</v>
      </c>
    </row>
    <row r="151" spans="1:24" ht="12.75">
      <c r="A151" s="130">
        <f t="shared" si="4"/>
        <v>42876</v>
      </c>
      <c r="B151" s="131">
        <v>0</v>
      </c>
      <c r="C151" s="131">
        <v>0</v>
      </c>
      <c r="D151" s="131">
        <v>0</v>
      </c>
      <c r="F151" s="131">
        <v>0</v>
      </c>
      <c r="G151" s="131">
        <v>0</v>
      </c>
      <c r="H151" s="131">
        <v>0</v>
      </c>
      <c r="J151" s="131">
        <v>0</v>
      </c>
      <c r="K151" s="131">
        <v>0</v>
      </c>
      <c r="L151" s="131">
        <v>0</v>
      </c>
      <c r="N151" s="131">
        <v>0</v>
      </c>
      <c r="O151" s="131">
        <v>0</v>
      </c>
      <c r="P151" s="131">
        <v>0</v>
      </c>
      <c r="R151" s="131">
        <v>0</v>
      </c>
      <c r="S151" s="131">
        <v>0</v>
      </c>
      <c r="T151" s="131">
        <v>0</v>
      </c>
      <c r="V151" s="131">
        <v>0</v>
      </c>
      <c r="W151" s="132">
        <v>0</v>
      </c>
      <c r="X151" s="132">
        <v>0</v>
      </c>
    </row>
    <row r="152" spans="1:24" ht="12.75">
      <c r="A152" s="130">
        <f t="shared" si="4"/>
        <v>42907</v>
      </c>
      <c r="B152" s="131">
        <v>0</v>
      </c>
      <c r="C152" s="131">
        <v>0</v>
      </c>
      <c r="D152" s="131">
        <v>0</v>
      </c>
      <c r="F152" s="131">
        <v>0</v>
      </c>
      <c r="G152" s="131">
        <v>0</v>
      </c>
      <c r="H152" s="131">
        <v>0</v>
      </c>
      <c r="J152" s="131">
        <v>0</v>
      </c>
      <c r="K152" s="131">
        <v>0</v>
      </c>
      <c r="L152" s="131">
        <v>0</v>
      </c>
      <c r="N152" s="131">
        <v>0</v>
      </c>
      <c r="O152" s="131">
        <v>0</v>
      </c>
      <c r="P152" s="131">
        <v>0</v>
      </c>
      <c r="R152" s="131">
        <v>0</v>
      </c>
      <c r="S152" s="131">
        <v>0</v>
      </c>
      <c r="T152" s="131">
        <v>0</v>
      </c>
      <c r="V152" s="131">
        <v>0</v>
      </c>
      <c r="W152" s="132">
        <v>0</v>
      </c>
      <c r="X152" s="132">
        <v>0</v>
      </c>
    </row>
    <row r="153" spans="1:24" ht="12.75">
      <c r="A153" s="130">
        <f t="shared" si="4"/>
        <v>42937</v>
      </c>
      <c r="B153" s="131">
        <v>0</v>
      </c>
      <c r="C153" s="131">
        <v>0</v>
      </c>
      <c r="D153" s="131">
        <v>0</v>
      </c>
      <c r="F153" s="131">
        <v>0</v>
      </c>
      <c r="G153" s="131">
        <v>0</v>
      </c>
      <c r="H153" s="131">
        <v>0</v>
      </c>
      <c r="J153" s="131">
        <v>0</v>
      </c>
      <c r="K153" s="131">
        <v>0</v>
      </c>
      <c r="L153" s="131">
        <v>0</v>
      </c>
      <c r="N153" s="131">
        <v>0</v>
      </c>
      <c r="O153" s="131">
        <v>0</v>
      </c>
      <c r="P153" s="131">
        <v>0</v>
      </c>
      <c r="R153" s="131">
        <v>0</v>
      </c>
      <c r="S153" s="131">
        <v>0</v>
      </c>
      <c r="T153" s="131">
        <v>0</v>
      </c>
      <c r="V153" s="131">
        <v>0</v>
      </c>
      <c r="W153" s="132">
        <v>0</v>
      </c>
      <c r="X153" s="132">
        <v>0</v>
      </c>
    </row>
    <row r="154" spans="1:24" ht="12.75">
      <c r="A154" s="130">
        <f t="shared" si="4"/>
        <v>42968</v>
      </c>
      <c r="B154" s="131">
        <v>0</v>
      </c>
      <c r="C154" s="131">
        <v>0</v>
      </c>
      <c r="D154" s="131">
        <v>0</v>
      </c>
      <c r="F154" s="131">
        <v>0</v>
      </c>
      <c r="G154" s="131">
        <v>0</v>
      </c>
      <c r="H154" s="131">
        <v>0</v>
      </c>
      <c r="J154" s="131">
        <v>0</v>
      </c>
      <c r="K154" s="131">
        <v>0</v>
      </c>
      <c r="L154" s="131">
        <v>0</v>
      </c>
      <c r="N154" s="131">
        <v>0</v>
      </c>
      <c r="O154" s="131">
        <v>0</v>
      </c>
      <c r="P154" s="131">
        <v>0</v>
      </c>
      <c r="R154" s="131">
        <v>0</v>
      </c>
      <c r="S154" s="131">
        <v>0</v>
      </c>
      <c r="T154" s="131">
        <v>0</v>
      </c>
      <c r="V154" s="131">
        <v>0</v>
      </c>
      <c r="W154" s="132">
        <v>0</v>
      </c>
      <c r="X154" s="132">
        <v>0</v>
      </c>
    </row>
    <row r="155" spans="1:24" ht="12.75">
      <c r="A155" s="130">
        <f t="shared" si="4"/>
        <v>42999</v>
      </c>
      <c r="B155" s="131">
        <v>0</v>
      </c>
      <c r="C155" s="131">
        <v>0</v>
      </c>
      <c r="D155" s="131">
        <v>0</v>
      </c>
      <c r="F155" s="131">
        <v>0</v>
      </c>
      <c r="G155" s="131">
        <v>0</v>
      </c>
      <c r="H155" s="131">
        <v>0</v>
      </c>
      <c r="J155" s="131">
        <v>0</v>
      </c>
      <c r="K155" s="131">
        <v>0</v>
      </c>
      <c r="L155" s="131">
        <v>0</v>
      </c>
      <c r="N155" s="131">
        <v>0</v>
      </c>
      <c r="O155" s="131">
        <v>0</v>
      </c>
      <c r="P155" s="131">
        <v>0</v>
      </c>
      <c r="R155" s="131">
        <v>0</v>
      </c>
      <c r="S155" s="131">
        <v>0</v>
      </c>
      <c r="T155" s="131">
        <v>0</v>
      </c>
      <c r="V155" s="131">
        <v>0</v>
      </c>
      <c r="W155" s="132">
        <v>0</v>
      </c>
      <c r="X155" s="132">
        <v>0</v>
      </c>
    </row>
    <row r="156" spans="1:24" ht="12.75">
      <c r="A156" s="130">
        <f t="shared" si="4"/>
        <v>43029</v>
      </c>
      <c r="B156" s="131">
        <v>0</v>
      </c>
      <c r="C156" s="131">
        <v>0</v>
      </c>
      <c r="D156" s="131">
        <v>0</v>
      </c>
      <c r="F156" s="131">
        <v>0</v>
      </c>
      <c r="G156" s="131">
        <v>0</v>
      </c>
      <c r="H156" s="131">
        <v>0</v>
      </c>
      <c r="J156" s="131">
        <v>0</v>
      </c>
      <c r="K156" s="131">
        <v>0</v>
      </c>
      <c r="L156" s="131">
        <v>0</v>
      </c>
      <c r="N156" s="131">
        <v>0</v>
      </c>
      <c r="O156" s="131">
        <v>0</v>
      </c>
      <c r="P156" s="131">
        <v>0</v>
      </c>
      <c r="R156" s="131">
        <v>0</v>
      </c>
      <c r="S156" s="131">
        <v>0</v>
      </c>
      <c r="T156" s="131">
        <v>0</v>
      </c>
      <c r="V156" s="131">
        <v>0</v>
      </c>
      <c r="W156" s="132">
        <v>0</v>
      </c>
      <c r="X156" s="132">
        <v>0</v>
      </c>
    </row>
    <row r="157" spans="1:24" ht="12.75">
      <c r="A157" s="130">
        <f t="shared" si="4"/>
        <v>43060</v>
      </c>
      <c r="B157" s="131">
        <v>0</v>
      </c>
      <c r="C157" s="131">
        <v>0</v>
      </c>
      <c r="D157" s="131">
        <v>0</v>
      </c>
      <c r="F157" s="131">
        <v>0</v>
      </c>
      <c r="G157" s="131">
        <v>0</v>
      </c>
      <c r="H157" s="131">
        <v>0</v>
      </c>
      <c r="J157" s="131">
        <v>0</v>
      </c>
      <c r="K157" s="131">
        <v>0</v>
      </c>
      <c r="L157" s="131">
        <v>0</v>
      </c>
      <c r="N157" s="131">
        <v>0</v>
      </c>
      <c r="O157" s="131">
        <v>0</v>
      </c>
      <c r="P157" s="131">
        <v>0</v>
      </c>
      <c r="R157" s="131">
        <v>0</v>
      </c>
      <c r="S157" s="131">
        <v>0</v>
      </c>
      <c r="T157" s="131">
        <v>0</v>
      </c>
      <c r="V157" s="131">
        <v>0</v>
      </c>
      <c r="W157" s="132">
        <v>0</v>
      </c>
      <c r="X157" s="132">
        <v>0</v>
      </c>
    </row>
    <row r="158" spans="1:24" ht="12.75">
      <c r="A158" s="130">
        <f t="shared" si="4"/>
        <v>43090</v>
      </c>
      <c r="B158" s="131">
        <v>0</v>
      </c>
      <c r="C158" s="131">
        <v>0</v>
      </c>
      <c r="D158" s="131">
        <v>0</v>
      </c>
      <c r="F158" s="131">
        <v>0</v>
      </c>
      <c r="G158" s="131">
        <v>0</v>
      </c>
      <c r="H158" s="131">
        <v>0</v>
      </c>
      <c r="J158" s="131">
        <v>0</v>
      </c>
      <c r="K158" s="131">
        <v>0</v>
      </c>
      <c r="L158" s="131">
        <v>0</v>
      </c>
      <c r="N158" s="131">
        <v>0</v>
      </c>
      <c r="O158" s="131">
        <v>0</v>
      </c>
      <c r="P158" s="131">
        <v>0</v>
      </c>
      <c r="R158" s="131">
        <v>0</v>
      </c>
      <c r="S158" s="131">
        <v>0</v>
      </c>
      <c r="T158" s="131">
        <v>0</v>
      </c>
      <c r="V158" s="131">
        <v>0</v>
      </c>
      <c r="W158" s="132">
        <v>0</v>
      </c>
      <c r="X158" s="132">
        <v>0</v>
      </c>
    </row>
    <row r="159" spans="1:24" ht="12.75">
      <c r="A159" s="130">
        <f t="shared" si="4"/>
        <v>43121</v>
      </c>
      <c r="B159" s="131">
        <v>0</v>
      </c>
      <c r="C159" s="131">
        <v>0</v>
      </c>
      <c r="D159" s="131">
        <v>0</v>
      </c>
      <c r="F159" s="131">
        <v>0</v>
      </c>
      <c r="G159" s="131">
        <v>0</v>
      </c>
      <c r="H159" s="131">
        <v>0</v>
      </c>
      <c r="J159" s="131">
        <v>0</v>
      </c>
      <c r="K159" s="131">
        <v>0</v>
      </c>
      <c r="L159" s="131">
        <v>0</v>
      </c>
      <c r="N159" s="131">
        <v>0</v>
      </c>
      <c r="O159" s="131">
        <v>0</v>
      </c>
      <c r="P159" s="131">
        <v>0</v>
      </c>
      <c r="R159" s="131">
        <v>0</v>
      </c>
      <c r="S159" s="131">
        <v>0</v>
      </c>
      <c r="T159" s="131">
        <v>0</v>
      </c>
      <c r="V159" s="131">
        <v>0</v>
      </c>
      <c r="W159" s="132">
        <v>0</v>
      </c>
      <c r="X159" s="132">
        <v>0</v>
      </c>
    </row>
    <row r="160" spans="1:24" ht="12.75">
      <c r="A160" s="130">
        <f t="shared" si="4"/>
        <v>43152</v>
      </c>
      <c r="B160" s="131">
        <v>0</v>
      </c>
      <c r="C160" s="131">
        <v>0</v>
      </c>
      <c r="D160" s="131">
        <v>0</v>
      </c>
      <c r="F160" s="131">
        <v>0</v>
      </c>
      <c r="G160" s="131">
        <v>0</v>
      </c>
      <c r="H160" s="131">
        <v>0</v>
      </c>
      <c r="J160" s="131">
        <v>0</v>
      </c>
      <c r="K160" s="131">
        <v>0</v>
      </c>
      <c r="L160" s="131">
        <v>0</v>
      </c>
      <c r="N160" s="131">
        <v>0</v>
      </c>
      <c r="O160" s="131">
        <v>0</v>
      </c>
      <c r="P160" s="131">
        <v>0</v>
      </c>
      <c r="R160" s="131">
        <v>0</v>
      </c>
      <c r="S160" s="131">
        <v>0</v>
      </c>
      <c r="T160" s="131">
        <v>0</v>
      </c>
      <c r="V160" s="131">
        <v>0</v>
      </c>
      <c r="W160" s="132">
        <v>0</v>
      </c>
      <c r="X160" s="132">
        <v>0</v>
      </c>
    </row>
    <row r="161" spans="1:24" ht="12.75">
      <c r="A161" s="130">
        <f t="shared" si="4"/>
        <v>43180</v>
      </c>
      <c r="B161" s="131">
        <v>0</v>
      </c>
      <c r="C161" s="131">
        <v>0</v>
      </c>
      <c r="D161" s="131">
        <v>0</v>
      </c>
      <c r="F161" s="131">
        <v>0</v>
      </c>
      <c r="G161" s="131">
        <v>0</v>
      </c>
      <c r="H161" s="131">
        <v>0</v>
      </c>
      <c r="J161" s="131">
        <v>0</v>
      </c>
      <c r="K161" s="131">
        <v>0</v>
      </c>
      <c r="L161" s="131">
        <v>0</v>
      </c>
      <c r="N161" s="131">
        <v>0</v>
      </c>
      <c r="O161" s="131">
        <v>0</v>
      </c>
      <c r="P161" s="131">
        <v>0</v>
      </c>
      <c r="R161" s="131">
        <v>0</v>
      </c>
      <c r="S161" s="131">
        <v>0</v>
      </c>
      <c r="T161" s="131">
        <v>0</v>
      </c>
      <c r="V161" s="131">
        <v>0</v>
      </c>
      <c r="W161" s="132">
        <v>0</v>
      </c>
      <c r="X161" s="132">
        <v>0</v>
      </c>
    </row>
    <row r="162" spans="1:24" ht="12.75">
      <c r="A162" s="130">
        <f t="shared" si="4"/>
        <v>43211</v>
      </c>
      <c r="B162" s="131">
        <v>0</v>
      </c>
      <c r="C162" s="131">
        <v>0</v>
      </c>
      <c r="D162" s="131">
        <v>0</v>
      </c>
      <c r="F162" s="131">
        <v>0</v>
      </c>
      <c r="G162" s="131">
        <v>0</v>
      </c>
      <c r="H162" s="131">
        <v>0</v>
      </c>
      <c r="J162" s="131">
        <v>0</v>
      </c>
      <c r="K162" s="131">
        <v>0</v>
      </c>
      <c r="L162" s="131">
        <v>0</v>
      </c>
      <c r="N162" s="131">
        <v>0</v>
      </c>
      <c r="O162" s="131">
        <v>0</v>
      </c>
      <c r="P162" s="131">
        <v>0</v>
      </c>
      <c r="R162" s="131">
        <v>0</v>
      </c>
      <c r="S162" s="131">
        <v>0</v>
      </c>
      <c r="T162" s="131">
        <v>0</v>
      </c>
      <c r="V162" s="131">
        <v>0</v>
      </c>
      <c r="W162" s="132">
        <v>0</v>
      </c>
      <c r="X162" s="132">
        <v>0</v>
      </c>
    </row>
    <row r="163" spans="1:24" ht="12.75">
      <c r="A163" s="130">
        <f t="shared" si="4"/>
        <v>43241</v>
      </c>
      <c r="B163" s="131">
        <v>0</v>
      </c>
      <c r="C163" s="131">
        <v>0</v>
      </c>
      <c r="D163" s="131">
        <v>0</v>
      </c>
      <c r="F163" s="131">
        <v>0</v>
      </c>
      <c r="G163" s="131">
        <v>0</v>
      </c>
      <c r="H163" s="131">
        <v>0</v>
      </c>
      <c r="J163" s="131">
        <v>0</v>
      </c>
      <c r="K163" s="131">
        <v>0</v>
      </c>
      <c r="L163" s="131">
        <v>0</v>
      </c>
      <c r="N163" s="131">
        <v>0</v>
      </c>
      <c r="O163" s="131">
        <v>0</v>
      </c>
      <c r="P163" s="131">
        <v>0</v>
      </c>
      <c r="R163" s="131">
        <v>0</v>
      </c>
      <c r="S163" s="131">
        <v>0</v>
      </c>
      <c r="T163" s="131">
        <v>0</v>
      </c>
      <c r="V163" s="131">
        <v>0</v>
      </c>
      <c r="W163" s="132">
        <v>0</v>
      </c>
      <c r="X163" s="132">
        <v>0</v>
      </c>
    </row>
    <row r="164" spans="1:24" ht="12.75">
      <c r="A164" s="130">
        <f aca="true" t="shared" si="5" ref="A164:A182">+_XLL.FECHA.MES(A163,1)</f>
        <v>43272</v>
      </c>
      <c r="B164" s="131">
        <v>0</v>
      </c>
      <c r="C164" s="131">
        <v>0</v>
      </c>
      <c r="D164" s="131">
        <v>0</v>
      </c>
      <c r="F164" s="131">
        <v>0</v>
      </c>
      <c r="G164" s="131">
        <v>0</v>
      </c>
      <c r="H164" s="131">
        <v>0</v>
      </c>
      <c r="J164" s="131">
        <v>0</v>
      </c>
      <c r="K164" s="131">
        <v>0</v>
      </c>
      <c r="L164" s="131">
        <v>0</v>
      </c>
      <c r="N164" s="131">
        <v>0</v>
      </c>
      <c r="O164" s="131">
        <v>0</v>
      </c>
      <c r="P164" s="131">
        <v>0</v>
      </c>
      <c r="R164" s="131">
        <v>0</v>
      </c>
      <c r="S164" s="131">
        <v>0</v>
      </c>
      <c r="T164" s="131">
        <v>0</v>
      </c>
      <c r="V164" s="131">
        <v>0</v>
      </c>
      <c r="W164" s="132">
        <v>0</v>
      </c>
      <c r="X164" s="132">
        <v>0</v>
      </c>
    </row>
    <row r="165" spans="1:24" ht="12.75">
      <c r="A165" s="130">
        <f t="shared" si="5"/>
        <v>43302</v>
      </c>
      <c r="B165" s="131">
        <v>0</v>
      </c>
      <c r="C165" s="131">
        <v>0</v>
      </c>
      <c r="D165" s="131">
        <v>0</v>
      </c>
      <c r="F165" s="131">
        <v>0</v>
      </c>
      <c r="G165" s="131">
        <v>0</v>
      </c>
      <c r="H165" s="131">
        <v>0</v>
      </c>
      <c r="J165" s="131">
        <v>0</v>
      </c>
      <c r="K165" s="131">
        <v>0</v>
      </c>
      <c r="L165" s="131">
        <v>0</v>
      </c>
      <c r="N165" s="131">
        <v>0</v>
      </c>
      <c r="O165" s="131">
        <v>0</v>
      </c>
      <c r="P165" s="131">
        <v>0</v>
      </c>
      <c r="R165" s="131">
        <v>0</v>
      </c>
      <c r="S165" s="131">
        <v>0</v>
      </c>
      <c r="T165" s="131">
        <v>0</v>
      </c>
      <c r="V165" s="131">
        <v>0</v>
      </c>
      <c r="W165" s="132">
        <v>0</v>
      </c>
      <c r="X165" s="132">
        <v>0</v>
      </c>
    </row>
    <row r="166" spans="1:24" ht="12.75">
      <c r="A166" s="130">
        <f t="shared" si="5"/>
        <v>43333</v>
      </c>
      <c r="B166" s="131">
        <v>0</v>
      </c>
      <c r="C166" s="131">
        <v>0</v>
      </c>
      <c r="D166" s="131">
        <v>0</v>
      </c>
      <c r="F166" s="131">
        <v>0</v>
      </c>
      <c r="G166" s="131">
        <v>0</v>
      </c>
      <c r="H166" s="131">
        <v>0</v>
      </c>
      <c r="J166" s="131">
        <v>0</v>
      </c>
      <c r="K166" s="131">
        <v>0</v>
      </c>
      <c r="L166" s="131">
        <v>0</v>
      </c>
      <c r="N166" s="131">
        <v>0</v>
      </c>
      <c r="O166" s="131">
        <v>0</v>
      </c>
      <c r="P166" s="131">
        <v>0</v>
      </c>
      <c r="R166" s="131">
        <v>0</v>
      </c>
      <c r="S166" s="131">
        <v>0</v>
      </c>
      <c r="T166" s="131">
        <v>0</v>
      </c>
      <c r="V166" s="131">
        <v>0</v>
      </c>
      <c r="W166" s="132">
        <v>0</v>
      </c>
      <c r="X166" s="132">
        <v>0</v>
      </c>
    </row>
    <row r="167" spans="1:24" ht="12.75">
      <c r="A167" s="130">
        <f t="shared" si="5"/>
        <v>43364</v>
      </c>
      <c r="B167" s="131">
        <v>0</v>
      </c>
      <c r="C167" s="131">
        <v>0</v>
      </c>
      <c r="D167" s="131">
        <v>0</v>
      </c>
      <c r="F167" s="131">
        <v>0</v>
      </c>
      <c r="G167" s="131">
        <v>0</v>
      </c>
      <c r="H167" s="131">
        <v>0</v>
      </c>
      <c r="J167" s="131">
        <v>0</v>
      </c>
      <c r="K167" s="131">
        <v>0</v>
      </c>
      <c r="L167" s="131">
        <v>0</v>
      </c>
      <c r="N167" s="131">
        <v>0</v>
      </c>
      <c r="O167" s="131">
        <v>0</v>
      </c>
      <c r="P167" s="131">
        <v>0</v>
      </c>
      <c r="R167" s="131">
        <v>0</v>
      </c>
      <c r="S167" s="131">
        <v>0</v>
      </c>
      <c r="T167" s="131">
        <v>0</v>
      </c>
      <c r="V167" s="131">
        <v>0</v>
      </c>
      <c r="W167" s="132">
        <v>0</v>
      </c>
      <c r="X167" s="132">
        <v>0</v>
      </c>
    </row>
    <row r="168" spans="1:24" ht="12.75">
      <c r="A168" s="130">
        <f t="shared" si="5"/>
        <v>43394</v>
      </c>
      <c r="B168" s="131">
        <v>0</v>
      </c>
      <c r="C168" s="131">
        <v>0</v>
      </c>
      <c r="D168" s="131">
        <v>0</v>
      </c>
      <c r="F168" s="131">
        <v>0</v>
      </c>
      <c r="G168" s="131">
        <v>0</v>
      </c>
      <c r="H168" s="131">
        <v>0</v>
      </c>
      <c r="J168" s="131">
        <v>0</v>
      </c>
      <c r="K168" s="131">
        <v>0</v>
      </c>
      <c r="L168" s="131">
        <v>0</v>
      </c>
      <c r="N168" s="131">
        <v>0</v>
      </c>
      <c r="O168" s="131">
        <v>0</v>
      </c>
      <c r="P168" s="131">
        <v>0</v>
      </c>
      <c r="R168" s="131">
        <v>0</v>
      </c>
      <c r="S168" s="131">
        <v>0</v>
      </c>
      <c r="T168" s="131">
        <v>0</v>
      </c>
      <c r="V168" s="131">
        <v>0</v>
      </c>
      <c r="W168" s="132">
        <v>0</v>
      </c>
      <c r="X168" s="132">
        <v>0</v>
      </c>
    </row>
    <row r="169" spans="1:24" ht="12.75">
      <c r="A169" s="130">
        <f t="shared" si="5"/>
        <v>43425</v>
      </c>
      <c r="B169" s="131">
        <v>0</v>
      </c>
      <c r="C169" s="131">
        <v>0</v>
      </c>
      <c r="D169" s="131">
        <v>0</v>
      </c>
      <c r="F169" s="131">
        <v>0</v>
      </c>
      <c r="G169" s="131">
        <v>0</v>
      </c>
      <c r="H169" s="131">
        <v>0</v>
      </c>
      <c r="J169" s="131">
        <v>0</v>
      </c>
      <c r="K169" s="131">
        <v>0</v>
      </c>
      <c r="L169" s="131">
        <v>0</v>
      </c>
      <c r="N169" s="131">
        <v>0</v>
      </c>
      <c r="O169" s="131">
        <v>0</v>
      </c>
      <c r="P169" s="131">
        <v>0</v>
      </c>
      <c r="R169" s="131">
        <v>0</v>
      </c>
      <c r="S169" s="131">
        <v>0</v>
      </c>
      <c r="T169" s="131">
        <v>0</v>
      </c>
      <c r="V169" s="131">
        <v>0</v>
      </c>
      <c r="W169" s="132">
        <v>0</v>
      </c>
      <c r="X169" s="132">
        <v>0</v>
      </c>
    </row>
    <row r="170" spans="1:24" ht="12.75">
      <c r="A170" s="130">
        <f t="shared" si="5"/>
        <v>43455</v>
      </c>
      <c r="B170" s="131">
        <v>0</v>
      </c>
      <c r="C170" s="131">
        <v>0</v>
      </c>
      <c r="D170" s="131">
        <v>0</v>
      </c>
      <c r="F170" s="131">
        <v>0</v>
      </c>
      <c r="G170" s="131">
        <v>0</v>
      </c>
      <c r="H170" s="131">
        <v>0</v>
      </c>
      <c r="J170" s="131">
        <v>0</v>
      </c>
      <c r="K170" s="131">
        <v>0</v>
      </c>
      <c r="L170" s="131">
        <v>0</v>
      </c>
      <c r="N170" s="131">
        <v>0</v>
      </c>
      <c r="O170" s="131">
        <v>0</v>
      </c>
      <c r="P170" s="131">
        <v>0</v>
      </c>
      <c r="R170" s="131">
        <v>0</v>
      </c>
      <c r="S170" s="131">
        <v>0</v>
      </c>
      <c r="T170" s="131">
        <v>0</v>
      </c>
      <c r="V170" s="131">
        <v>0</v>
      </c>
      <c r="W170" s="132">
        <v>0</v>
      </c>
      <c r="X170" s="132">
        <v>0</v>
      </c>
    </row>
    <row r="171" spans="1:24" ht="12.75">
      <c r="A171" s="130">
        <f t="shared" si="5"/>
        <v>43486</v>
      </c>
      <c r="B171" s="131">
        <v>0</v>
      </c>
      <c r="C171" s="131">
        <v>0</v>
      </c>
      <c r="D171" s="131">
        <v>0</v>
      </c>
      <c r="F171" s="131">
        <v>0</v>
      </c>
      <c r="G171" s="131">
        <v>0</v>
      </c>
      <c r="H171" s="131">
        <v>0</v>
      </c>
      <c r="J171" s="131">
        <v>0</v>
      </c>
      <c r="K171" s="131">
        <v>0</v>
      </c>
      <c r="L171" s="131">
        <v>0</v>
      </c>
      <c r="N171" s="131">
        <v>0</v>
      </c>
      <c r="O171" s="131">
        <v>0</v>
      </c>
      <c r="P171" s="131">
        <v>0</v>
      </c>
      <c r="R171" s="131">
        <v>0</v>
      </c>
      <c r="S171" s="131">
        <v>0</v>
      </c>
      <c r="T171" s="131">
        <v>0</v>
      </c>
      <c r="V171" s="131">
        <v>0</v>
      </c>
      <c r="W171" s="132">
        <v>0</v>
      </c>
      <c r="X171" s="132">
        <v>0</v>
      </c>
    </row>
    <row r="172" spans="1:24" ht="12.75">
      <c r="A172" s="130">
        <f t="shared" si="5"/>
        <v>43517</v>
      </c>
      <c r="B172" s="131">
        <v>0</v>
      </c>
      <c r="C172" s="131">
        <v>0</v>
      </c>
      <c r="D172" s="131">
        <v>0</v>
      </c>
      <c r="F172" s="131">
        <v>0</v>
      </c>
      <c r="G172" s="131">
        <v>0</v>
      </c>
      <c r="H172" s="131">
        <v>0</v>
      </c>
      <c r="J172" s="131">
        <v>0</v>
      </c>
      <c r="K172" s="131">
        <v>0</v>
      </c>
      <c r="L172" s="131">
        <v>0</v>
      </c>
      <c r="N172" s="131">
        <v>0</v>
      </c>
      <c r="O172" s="131">
        <v>0</v>
      </c>
      <c r="P172" s="131">
        <v>0</v>
      </c>
      <c r="R172" s="131">
        <v>0</v>
      </c>
      <c r="S172" s="131">
        <v>0</v>
      </c>
      <c r="T172" s="131">
        <v>0</v>
      </c>
      <c r="V172" s="131">
        <v>0</v>
      </c>
      <c r="W172" s="132">
        <v>0</v>
      </c>
      <c r="X172" s="132">
        <v>0</v>
      </c>
    </row>
    <row r="173" spans="1:24" ht="12.75">
      <c r="A173" s="130">
        <f t="shared" si="5"/>
        <v>43545</v>
      </c>
      <c r="B173" s="131">
        <v>0</v>
      </c>
      <c r="C173" s="131">
        <v>0</v>
      </c>
      <c r="D173" s="131">
        <v>0</v>
      </c>
      <c r="F173" s="131">
        <v>0</v>
      </c>
      <c r="G173" s="131">
        <v>0</v>
      </c>
      <c r="H173" s="131">
        <v>0</v>
      </c>
      <c r="J173" s="131">
        <v>0</v>
      </c>
      <c r="K173" s="131">
        <v>0</v>
      </c>
      <c r="L173" s="131">
        <v>0</v>
      </c>
      <c r="N173" s="131">
        <v>0</v>
      </c>
      <c r="O173" s="131">
        <v>0</v>
      </c>
      <c r="P173" s="131">
        <v>0</v>
      </c>
      <c r="R173" s="131">
        <v>0</v>
      </c>
      <c r="S173" s="131">
        <v>0</v>
      </c>
      <c r="T173" s="131">
        <v>0</v>
      </c>
      <c r="V173" s="131">
        <v>0</v>
      </c>
      <c r="W173" s="132">
        <v>0</v>
      </c>
      <c r="X173" s="132">
        <v>0</v>
      </c>
    </row>
    <row r="174" spans="1:24" ht="12.75">
      <c r="A174" s="130">
        <f t="shared" si="5"/>
        <v>43576</v>
      </c>
      <c r="B174" s="131">
        <v>0</v>
      </c>
      <c r="C174" s="131">
        <v>0</v>
      </c>
      <c r="D174" s="131">
        <v>0</v>
      </c>
      <c r="F174" s="131">
        <v>0</v>
      </c>
      <c r="G174" s="131">
        <v>0</v>
      </c>
      <c r="H174" s="131">
        <v>0</v>
      </c>
      <c r="J174" s="131">
        <v>0</v>
      </c>
      <c r="K174" s="131">
        <v>0</v>
      </c>
      <c r="L174" s="131">
        <v>0</v>
      </c>
      <c r="N174" s="131">
        <v>0</v>
      </c>
      <c r="O174" s="131">
        <v>0</v>
      </c>
      <c r="P174" s="131">
        <v>0</v>
      </c>
      <c r="R174" s="131">
        <v>0</v>
      </c>
      <c r="S174" s="131">
        <v>0</v>
      </c>
      <c r="T174" s="131">
        <v>0</v>
      </c>
      <c r="V174" s="131">
        <v>0</v>
      </c>
      <c r="W174" s="132">
        <v>0</v>
      </c>
      <c r="X174" s="132">
        <v>0</v>
      </c>
    </row>
    <row r="175" spans="1:24" ht="12.75">
      <c r="A175" s="130">
        <f t="shared" si="5"/>
        <v>43606</v>
      </c>
      <c r="B175" s="131">
        <v>0</v>
      </c>
      <c r="C175" s="131">
        <v>0</v>
      </c>
      <c r="D175" s="131">
        <v>0</v>
      </c>
      <c r="F175" s="131">
        <v>0</v>
      </c>
      <c r="G175" s="131">
        <v>0</v>
      </c>
      <c r="H175" s="131">
        <v>0</v>
      </c>
      <c r="J175" s="131">
        <v>0</v>
      </c>
      <c r="K175" s="131">
        <v>0</v>
      </c>
      <c r="L175" s="131">
        <v>0</v>
      </c>
      <c r="N175" s="131">
        <v>0</v>
      </c>
      <c r="O175" s="131">
        <v>0</v>
      </c>
      <c r="P175" s="131">
        <v>0</v>
      </c>
      <c r="R175" s="131">
        <v>0</v>
      </c>
      <c r="S175" s="131">
        <v>0</v>
      </c>
      <c r="T175" s="131">
        <v>0</v>
      </c>
      <c r="V175" s="131">
        <v>0</v>
      </c>
      <c r="W175" s="132">
        <v>0</v>
      </c>
      <c r="X175" s="132">
        <v>0</v>
      </c>
    </row>
    <row r="176" spans="1:24" ht="12.75">
      <c r="A176" s="130">
        <f t="shared" si="5"/>
        <v>43637</v>
      </c>
      <c r="B176" s="131">
        <v>0</v>
      </c>
      <c r="C176" s="131">
        <v>0</v>
      </c>
      <c r="D176" s="131">
        <v>0</v>
      </c>
      <c r="F176" s="131">
        <v>0</v>
      </c>
      <c r="G176" s="131">
        <v>0</v>
      </c>
      <c r="H176" s="131">
        <v>0</v>
      </c>
      <c r="J176" s="131">
        <v>0</v>
      </c>
      <c r="K176" s="131">
        <v>0</v>
      </c>
      <c r="L176" s="131">
        <v>0</v>
      </c>
      <c r="N176" s="131">
        <v>0</v>
      </c>
      <c r="O176" s="131">
        <v>0</v>
      </c>
      <c r="P176" s="131">
        <v>0</v>
      </c>
      <c r="R176" s="131">
        <v>0</v>
      </c>
      <c r="S176" s="131">
        <v>0</v>
      </c>
      <c r="T176" s="131">
        <v>0</v>
      </c>
      <c r="V176" s="131">
        <v>0</v>
      </c>
      <c r="W176" s="132">
        <v>0</v>
      </c>
      <c r="X176" s="132">
        <v>0</v>
      </c>
    </row>
    <row r="177" spans="1:24" ht="12.75">
      <c r="A177" s="130">
        <f t="shared" si="5"/>
        <v>43667</v>
      </c>
      <c r="B177" s="131">
        <v>0</v>
      </c>
      <c r="C177" s="131">
        <v>0</v>
      </c>
      <c r="D177" s="131">
        <v>0</v>
      </c>
      <c r="F177" s="131">
        <v>0</v>
      </c>
      <c r="G177" s="131">
        <v>0</v>
      </c>
      <c r="H177" s="131">
        <v>0</v>
      </c>
      <c r="J177" s="131">
        <v>0</v>
      </c>
      <c r="K177" s="131">
        <v>0</v>
      </c>
      <c r="L177" s="131">
        <v>0</v>
      </c>
      <c r="N177" s="131">
        <v>0</v>
      </c>
      <c r="O177" s="131">
        <v>0</v>
      </c>
      <c r="P177" s="131">
        <v>0</v>
      </c>
      <c r="R177" s="131">
        <v>0</v>
      </c>
      <c r="S177" s="131">
        <v>0</v>
      </c>
      <c r="T177" s="131">
        <v>0</v>
      </c>
      <c r="V177" s="131">
        <v>0</v>
      </c>
      <c r="W177" s="132">
        <v>0</v>
      </c>
      <c r="X177" s="132">
        <v>0</v>
      </c>
    </row>
    <row r="178" spans="1:24" ht="12.75">
      <c r="A178" s="130">
        <f t="shared" si="5"/>
        <v>43698</v>
      </c>
      <c r="B178" s="131">
        <v>0</v>
      </c>
      <c r="C178" s="131">
        <v>0</v>
      </c>
      <c r="D178" s="131">
        <v>0</v>
      </c>
      <c r="F178" s="131">
        <v>0</v>
      </c>
      <c r="G178" s="131">
        <v>0</v>
      </c>
      <c r="H178" s="131">
        <v>0</v>
      </c>
      <c r="J178" s="131">
        <v>0</v>
      </c>
      <c r="K178" s="131">
        <v>0</v>
      </c>
      <c r="L178" s="131">
        <v>0</v>
      </c>
      <c r="N178" s="131">
        <v>0</v>
      </c>
      <c r="O178" s="131">
        <v>0</v>
      </c>
      <c r="P178" s="131">
        <v>0</v>
      </c>
      <c r="R178" s="131">
        <v>0</v>
      </c>
      <c r="S178" s="131">
        <v>0</v>
      </c>
      <c r="T178" s="131">
        <v>0</v>
      </c>
      <c r="V178" s="131">
        <v>0</v>
      </c>
      <c r="W178" s="132">
        <v>0</v>
      </c>
      <c r="X178" s="132">
        <v>0</v>
      </c>
    </row>
    <row r="179" spans="1:24" ht="12.75">
      <c r="A179" s="130">
        <f t="shared" si="5"/>
        <v>43729</v>
      </c>
      <c r="B179" s="131">
        <v>0</v>
      </c>
      <c r="C179" s="131">
        <v>0</v>
      </c>
      <c r="D179" s="131">
        <v>0</v>
      </c>
      <c r="F179" s="131">
        <v>0</v>
      </c>
      <c r="G179" s="131">
        <v>0</v>
      </c>
      <c r="H179" s="131">
        <v>0</v>
      </c>
      <c r="J179" s="131">
        <v>0</v>
      </c>
      <c r="K179" s="131">
        <v>0</v>
      </c>
      <c r="L179" s="131">
        <v>0</v>
      </c>
      <c r="N179" s="131">
        <v>0</v>
      </c>
      <c r="O179" s="131">
        <v>0</v>
      </c>
      <c r="P179" s="131">
        <v>0</v>
      </c>
      <c r="R179" s="131">
        <v>0</v>
      </c>
      <c r="S179" s="131">
        <v>0</v>
      </c>
      <c r="T179" s="131">
        <v>0</v>
      </c>
      <c r="V179" s="131">
        <v>0</v>
      </c>
      <c r="W179" s="132">
        <v>0</v>
      </c>
      <c r="X179" s="132">
        <v>0</v>
      </c>
    </row>
    <row r="180" spans="1:24" ht="12.75">
      <c r="A180" s="130">
        <f t="shared" si="5"/>
        <v>43759</v>
      </c>
      <c r="B180" s="131">
        <v>0</v>
      </c>
      <c r="C180" s="131">
        <v>0</v>
      </c>
      <c r="D180" s="131">
        <v>0</v>
      </c>
      <c r="F180" s="131">
        <v>0</v>
      </c>
      <c r="G180" s="131">
        <v>0</v>
      </c>
      <c r="H180" s="131">
        <v>0</v>
      </c>
      <c r="J180" s="131">
        <v>0</v>
      </c>
      <c r="K180" s="131">
        <v>0</v>
      </c>
      <c r="L180" s="131">
        <v>0</v>
      </c>
      <c r="N180" s="131">
        <v>0</v>
      </c>
      <c r="O180" s="131">
        <v>0</v>
      </c>
      <c r="P180" s="131">
        <v>0</v>
      </c>
      <c r="R180" s="131">
        <v>0</v>
      </c>
      <c r="S180" s="131">
        <v>0</v>
      </c>
      <c r="T180" s="131">
        <v>0</v>
      </c>
      <c r="V180" s="131">
        <v>0</v>
      </c>
      <c r="W180" s="132">
        <v>0</v>
      </c>
      <c r="X180" s="132">
        <v>0</v>
      </c>
    </row>
    <row r="181" spans="1:24" ht="12.75">
      <c r="A181" s="130">
        <f t="shared" si="5"/>
        <v>43790</v>
      </c>
      <c r="B181" s="131">
        <v>0</v>
      </c>
      <c r="C181" s="131">
        <v>0</v>
      </c>
      <c r="D181" s="131">
        <v>0</v>
      </c>
      <c r="F181" s="131">
        <v>0</v>
      </c>
      <c r="G181" s="131">
        <v>0</v>
      </c>
      <c r="H181" s="131">
        <v>0</v>
      </c>
      <c r="J181" s="131">
        <v>0</v>
      </c>
      <c r="K181" s="131">
        <v>0</v>
      </c>
      <c r="L181" s="131">
        <v>0</v>
      </c>
      <c r="N181" s="131">
        <v>0</v>
      </c>
      <c r="O181" s="131">
        <v>0</v>
      </c>
      <c r="P181" s="131">
        <v>0</v>
      </c>
      <c r="R181" s="131">
        <v>0</v>
      </c>
      <c r="S181" s="131">
        <v>0</v>
      </c>
      <c r="T181" s="131">
        <v>0</v>
      </c>
      <c r="V181" s="131">
        <v>0</v>
      </c>
      <c r="W181" s="132">
        <v>0</v>
      </c>
      <c r="X181" s="132">
        <v>0</v>
      </c>
    </row>
    <row r="182" spans="1:24" ht="13.5" thickBot="1">
      <c r="A182" s="133">
        <f t="shared" si="5"/>
        <v>43820</v>
      </c>
      <c r="B182" s="134">
        <v>0</v>
      </c>
      <c r="C182" s="134">
        <v>0</v>
      </c>
      <c r="D182" s="134">
        <v>0</v>
      </c>
      <c r="F182" s="134">
        <v>0</v>
      </c>
      <c r="G182" s="134">
        <v>0</v>
      </c>
      <c r="H182" s="134">
        <v>0</v>
      </c>
      <c r="J182" s="134">
        <v>0</v>
      </c>
      <c r="K182" s="134">
        <v>0</v>
      </c>
      <c r="L182" s="134">
        <v>0</v>
      </c>
      <c r="N182" s="134">
        <v>0</v>
      </c>
      <c r="O182" s="134">
        <v>0</v>
      </c>
      <c r="P182" s="134">
        <v>0</v>
      </c>
      <c r="R182" s="134">
        <v>0</v>
      </c>
      <c r="S182" s="134">
        <v>0</v>
      </c>
      <c r="T182" s="134">
        <v>0</v>
      </c>
      <c r="V182" s="134">
        <v>0</v>
      </c>
      <c r="W182" s="135">
        <v>0</v>
      </c>
      <c r="X182" s="135">
        <v>0</v>
      </c>
    </row>
    <row r="183" spans="1:25" s="136" customFormat="1" ht="15.75" customHeight="1">
      <c r="A183" s="129"/>
      <c r="B183" s="136">
        <f>SUM(B3:B182)</f>
        <v>0.9999999999999999</v>
      </c>
      <c r="C183" s="136">
        <f>SUM(C3:C182)</f>
        <v>1.0000000000000002</v>
      </c>
      <c r="D183" s="136">
        <f>SUM(D3:D182)</f>
        <v>1</v>
      </c>
      <c r="E183" s="129"/>
      <c r="F183" s="136">
        <f>SUM(F3:F182)</f>
        <v>0.9999999999999999</v>
      </c>
      <c r="G183" s="136">
        <f>SUM(G3:G182)</f>
        <v>1.0000000000000002</v>
      </c>
      <c r="H183" s="136">
        <f>SUM(H3:H182)</f>
        <v>1</v>
      </c>
      <c r="I183" s="129"/>
      <c r="J183" s="136">
        <f>SUM(J3:J182)</f>
        <v>0.9999999999999999</v>
      </c>
      <c r="K183" s="136">
        <f>SUM(K3:K182)</f>
        <v>1.0000000000000002</v>
      </c>
      <c r="L183" s="136">
        <f>SUM(L3:L182)</f>
        <v>1</v>
      </c>
      <c r="M183" s="129"/>
      <c r="N183" s="136">
        <f>SUM(N3:N182)</f>
        <v>0.9999999999999999</v>
      </c>
      <c r="O183" s="136">
        <f>SUM(O3:O182)</f>
        <v>1.0000000000000002</v>
      </c>
      <c r="P183" s="136">
        <f>SUM(P3:P182)</f>
        <v>1</v>
      </c>
      <c r="Q183" s="129"/>
      <c r="R183" s="136">
        <f>SUM(R3:R182)</f>
        <v>0.9999999999999999</v>
      </c>
      <c r="S183" s="136">
        <f>SUM(S3:S182)</f>
        <v>1.0000000000000002</v>
      </c>
      <c r="T183" s="136">
        <f>SUM(T3:T182)</f>
        <v>1</v>
      </c>
      <c r="U183" s="129"/>
      <c r="V183" s="136">
        <f>SUM(V3:V182)</f>
        <v>0.9999999999999999</v>
      </c>
      <c r="W183" s="136">
        <f>SUM(W3:W182)</f>
        <v>1.0000000000000002</v>
      </c>
      <c r="X183" s="136">
        <f>SUM(X3:X182)</f>
        <v>1</v>
      </c>
      <c r="Y183" s="129"/>
    </row>
    <row r="184" spans="2:24" ht="12.75">
      <c r="B184" s="137">
        <f>1-B183</f>
        <v>0</v>
      </c>
      <c r="C184" s="137">
        <f>1-C183</f>
        <v>0</v>
      </c>
      <c r="D184" s="137">
        <f>1-D183</f>
        <v>0</v>
      </c>
      <c r="F184" s="137">
        <f>1-F183</f>
        <v>0</v>
      </c>
      <c r="G184" s="137">
        <f>1-G183</f>
        <v>0</v>
      </c>
      <c r="H184" s="137">
        <f>1-H183</f>
        <v>0</v>
      </c>
      <c r="J184" s="137">
        <f>1-J183</f>
        <v>0</v>
      </c>
      <c r="K184" s="137">
        <f>1-K183</f>
        <v>0</v>
      </c>
      <c r="L184" s="137">
        <f>1-L183</f>
        <v>0</v>
      </c>
      <c r="N184" s="137">
        <f>1-N183</f>
        <v>0</v>
      </c>
      <c r="O184" s="137">
        <f>1-O183</f>
        <v>0</v>
      </c>
      <c r="P184" s="137">
        <f>1-P183</f>
        <v>0</v>
      </c>
      <c r="R184" s="137">
        <f>1-R183</f>
        <v>0</v>
      </c>
      <c r="S184" s="137">
        <f>1-S183</f>
        <v>0</v>
      </c>
      <c r="T184" s="137">
        <f>1-T183</f>
        <v>0</v>
      </c>
      <c r="V184" s="137">
        <f>1-V183</f>
        <v>0</v>
      </c>
      <c r="W184" s="137">
        <f>1-W183</f>
        <v>0</v>
      </c>
      <c r="X184" s="137">
        <f>1-X183</f>
        <v>0</v>
      </c>
    </row>
    <row r="185" spans="2:19" ht="12.75">
      <c r="B185" s="137"/>
      <c r="C185" s="137"/>
      <c r="F185" s="137"/>
      <c r="G185" s="137"/>
      <c r="J185" s="137"/>
      <c r="K185" s="137"/>
      <c r="N185" s="137"/>
      <c r="O185" s="137"/>
      <c r="R185" s="137"/>
      <c r="S185" s="137"/>
    </row>
  </sheetData>
  <sheetProtection password="C539" sheet="1" objects="1" scenarios="1"/>
  <mergeCells count="7">
    <mergeCell ref="R1:T1"/>
    <mergeCell ref="B1:D1"/>
    <mergeCell ref="V1:X1"/>
    <mergeCell ref="A1:A2"/>
    <mergeCell ref="F1:H1"/>
    <mergeCell ref="J1:L1"/>
    <mergeCell ref="N1:P1"/>
  </mergeCells>
  <conditionalFormatting sqref="R183:T183 J183:L183 B183:D183 F183:H183 N183:P183 V183:X183">
    <cfRule type="cellIs" priority="1" dxfId="0" operator="notEqual" stopIfTrue="1">
      <formula>1</formula>
    </cfRule>
  </conditionalFormatting>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5"/>
  <dimension ref="A1:D181"/>
  <sheetViews>
    <sheetView zoomScale="75" zoomScaleNormal="75" zoomScalePageLayoutView="0" workbookViewId="0" topLeftCell="A1">
      <selection activeCell="C46" sqref="C46"/>
    </sheetView>
  </sheetViews>
  <sheetFormatPr defaultColWidth="11.421875" defaultRowHeight="12.75"/>
  <cols>
    <col min="1" max="1" width="10.140625" style="150" bestFit="1" customWidth="1"/>
    <col min="2" max="2" width="16.8515625" style="150" bestFit="1" customWidth="1"/>
    <col min="3" max="3" width="16.8515625" style="150" customWidth="1"/>
    <col min="4" max="4" width="16.8515625" style="150" bestFit="1" customWidth="1"/>
    <col min="5" max="16384" width="11.421875" style="150" customWidth="1"/>
  </cols>
  <sheetData>
    <row r="1" spans="1:4" ht="13.5" thickBot="1">
      <c r="A1" s="147" t="s">
        <v>1</v>
      </c>
      <c r="B1" s="148" t="str">
        <f>+Características!B1</f>
        <v>TIPS E-6 A 2009</v>
      </c>
      <c r="C1" s="149" t="str">
        <f>+Características!C1</f>
        <v>TIPS E-6 A 2014</v>
      </c>
      <c r="D1" s="149" t="str">
        <f>+Características!D1</f>
        <v>TIPS E-6 A 2019</v>
      </c>
    </row>
    <row r="2" spans="1:4" ht="12.75">
      <c r="A2" s="151">
        <f>+'Tabla de Amortizacion'!A3</f>
        <v>38373</v>
      </c>
      <c r="B2" s="152">
        <f>IF('CALCULADORA TIPS E-6'!$F$10="Contractual",ROUND('Tabla de Amortizacion'!B3,8),IF('CALCULADORA TIPS E-6'!$F$10="6% (Medio)",ROUND('Tabla de Amortizacion'!F3,8),IF('CALCULADORA TIPS E-6'!$F$10="10% (Medio Alto)",ROUND('Tabla de Amortizacion'!J3,8),IF('CALCULADORA TIPS E-6'!$F$10="14% (Alto)",ROUND('Tabla de Amortizacion'!N3,8),IF('CALCULADORA TIPS E-6'!$F$10=20%,ROUND('Tabla de Amortizacion'!R3,8),ROUND('Tabla de Amortizacion'!V3,8))))))</f>
        <v>0</v>
      </c>
      <c r="C2" s="152">
        <f>IF('CALCULADORA TIPS E-6'!$F$10="Contractual",ROUND('Tabla de Amortizacion'!C3,8),IF('CALCULADORA TIPS E-6'!$F$10="6% (Medio)",ROUND('Tabla de Amortizacion'!G3,8),IF('CALCULADORA TIPS E-6'!$F$10="10% (Medio Alto)",ROUND('Tabla de Amortizacion'!K3,8),IF('CALCULADORA TIPS E-6'!$F$10="14% (Alto)",ROUND('Tabla de Amortizacion'!O3,8),IF('CALCULADORA TIPS E-6'!$F$10=20%,ROUND('Tabla de Amortizacion'!S3,8),ROUND('Tabla de Amortizacion'!W3,8))))))</f>
        <v>0</v>
      </c>
      <c r="D2" s="152">
        <f>IF('CALCULADORA TIPS E-6'!$F$10="Contractual",ROUND('Tabla de Amortizacion'!D3,8),IF('CALCULADORA TIPS E-6'!$F$10="6% (Medio)",ROUND('Tabla de Amortizacion'!H3,8),IF('CALCULADORA TIPS E-6'!$F$10="10% (Medio Alto)",ROUND('Tabla de Amortizacion'!L3,8),IF('CALCULADORA TIPS E-6'!$F$10="14% (Alto)",ROUND('Tabla de Amortizacion'!P3,8),IF('CALCULADORA TIPS E-6'!$F$10=20%,ROUND('Tabla de Amortizacion'!T3,8),ROUND('Tabla de Amortizacion'!X3,8))))))</f>
        <v>0</v>
      </c>
    </row>
    <row r="3" spans="1:4" ht="12.75">
      <c r="A3" s="153">
        <f aca="true" t="shared" si="0" ref="A3:A34">_XLL.FECHA.MES(A2,1)</f>
        <v>38404</v>
      </c>
      <c r="B3" s="154">
        <f>IF('CALCULADORA TIPS E-6'!$F$10="Contractual",ROUND('Tabla de Amortizacion'!B4,8),IF('CALCULADORA TIPS E-6'!$F$10="6% (Medio)",ROUND('Tabla de Amortizacion'!F4,8),IF('CALCULADORA TIPS E-6'!$F$10="10% (Medio Alto)",ROUND('Tabla de Amortizacion'!J4,8),IF('CALCULADORA TIPS E-6'!$F$10="14% (Alto)",ROUND('Tabla de Amortizacion'!N4,8),IF('CALCULADORA TIPS E-6'!$F$10=20%,ROUND('Tabla de Amortizacion'!R4,8),ROUND('Tabla de Amortizacion'!V4,8))))))</f>
        <v>0</v>
      </c>
      <c r="C3" s="154">
        <f>IF('CALCULADORA TIPS E-6'!$F$10="Contractual",ROUND('Tabla de Amortizacion'!C4,8),IF('CALCULADORA TIPS E-6'!$F$10="6% (Medio)",ROUND('Tabla de Amortizacion'!G4,8),IF('CALCULADORA TIPS E-6'!$F$10="10% (Medio Alto)",ROUND('Tabla de Amortizacion'!K4,8),IF('CALCULADORA TIPS E-6'!$F$10="14% (Alto)",ROUND('Tabla de Amortizacion'!O4,8),IF('CALCULADORA TIPS E-6'!$F$10=20%,ROUND('Tabla de Amortizacion'!S4,8),ROUND('Tabla de Amortizacion'!W4,8))))))</f>
        <v>0</v>
      </c>
      <c r="D3" s="154">
        <f>IF('CALCULADORA TIPS E-6'!$F$10="Contractual",ROUND('Tabla de Amortizacion'!D4,8),IF('CALCULADORA TIPS E-6'!$F$10="6% (Medio)",ROUND('Tabla de Amortizacion'!H4,8),IF('CALCULADORA TIPS E-6'!$F$10="10% (Medio Alto)",ROUND('Tabla de Amortizacion'!L4,8),IF('CALCULADORA TIPS E-6'!$F$10="14% (Alto)",ROUND('Tabla de Amortizacion'!P4,8),IF('CALCULADORA TIPS E-6'!$F$10=20%,ROUND('Tabla de Amortizacion'!T4,8),ROUND('Tabla de Amortizacion'!X4,8))))))</f>
        <v>0</v>
      </c>
    </row>
    <row r="4" spans="1:4" ht="12.75">
      <c r="A4" s="153">
        <f t="shared" si="0"/>
        <v>38432</v>
      </c>
      <c r="B4" s="154">
        <f>IF('CALCULADORA TIPS E-6'!$F$10="Contractual",ROUND('Tabla de Amortizacion'!B5,8),IF('CALCULADORA TIPS E-6'!$F$10="6% (Medio)",ROUND('Tabla de Amortizacion'!F5,8),IF('CALCULADORA TIPS E-6'!$F$10="10% (Medio Alto)",ROUND('Tabla de Amortizacion'!J5,8),IF('CALCULADORA TIPS E-6'!$F$10="14% (Alto)",ROUND('Tabla de Amortizacion'!N5,8),IF('CALCULADORA TIPS E-6'!$F$10=20%,ROUND('Tabla de Amortizacion'!R5,8),ROUND('Tabla de Amortizacion'!V5,8))))))</f>
        <v>0.1061373</v>
      </c>
      <c r="C4" s="154">
        <f>IF('CALCULADORA TIPS E-6'!$F$10="Contractual",ROUND('Tabla de Amortizacion'!C5,8),IF('CALCULADORA TIPS E-6'!$F$10="6% (Medio)",ROUND('Tabla de Amortizacion'!G5,8),IF('CALCULADORA TIPS E-6'!$F$10="10% (Medio Alto)",ROUND('Tabla de Amortizacion'!K5,8),IF('CALCULADORA TIPS E-6'!$F$10="14% (Alto)",ROUND('Tabla de Amortizacion'!O5,8),IF('CALCULADORA TIPS E-6'!$F$10=20%,ROUND('Tabla de Amortizacion'!S5,8),ROUND('Tabla de Amortizacion'!W5,8))))))</f>
        <v>0</v>
      </c>
      <c r="D4" s="154">
        <f>IF('CALCULADORA TIPS E-6'!$F$10="Contractual",ROUND('Tabla de Amortizacion'!D5,8),IF('CALCULADORA TIPS E-6'!$F$10="6% (Medio)",ROUND('Tabla de Amortizacion'!H5,8),IF('CALCULADORA TIPS E-6'!$F$10="10% (Medio Alto)",ROUND('Tabla de Amortizacion'!L5,8),IF('CALCULADORA TIPS E-6'!$F$10="14% (Alto)",ROUND('Tabla de Amortizacion'!P5,8),IF('CALCULADORA TIPS E-6'!$F$10=20%,ROUND('Tabla de Amortizacion'!T5,8),ROUND('Tabla de Amortizacion'!X5,8))))))</f>
        <v>0</v>
      </c>
    </row>
    <row r="5" spans="1:4" ht="12.75">
      <c r="A5" s="153">
        <f t="shared" si="0"/>
        <v>38463</v>
      </c>
      <c r="B5" s="154">
        <f>IF('CALCULADORA TIPS E-6'!$F$10="Contractual",ROUND('Tabla de Amortizacion'!B6,8),IF('CALCULADORA TIPS E-6'!$F$10="6% (Medio)",ROUND('Tabla de Amortizacion'!F6,8),IF('CALCULADORA TIPS E-6'!$F$10="10% (Medio Alto)",ROUND('Tabla de Amortizacion'!J6,8),IF('CALCULADORA TIPS E-6'!$F$10="14% (Alto)",ROUND('Tabla de Amortizacion'!N6,8),IF('CALCULADORA TIPS E-6'!$F$10=20%,ROUND('Tabla de Amortizacion'!R6,8),ROUND('Tabla de Amortizacion'!V6,8))))))</f>
        <v>0.03894843</v>
      </c>
      <c r="C5" s="154">
        <f>IF('CALCULADORA TIPS E-6'!$F$10="Contractual",ROUND('Tabla de Amortizacion'!C6,8),IF('CALCULADORA TIPS E-6'!$F$10="6% (Medio)",ROUND('Tabla de Amortizacion'!G6,8),IF('CALCULADORA TIPS E-6'!$F$10="10% (Medio Alto)",ROUND('Tabla de Amortizacion'!K6,8),IF('CALCULADORA TIPS E-6'!$F$10="14% (Alto)",ROUND('Tabla de Amortizacion'!O6,8),IF('CALCULADORA TIPS E-6'!$F$10=20%,ROUND('Tabla de Amortizacion'!S6,8),ROUND('Tabla de Amortizacion'!W6,8))))))</f>
        <v>0</v>
      </c>
      <c r="D5" s="154">
        <f>IF('CALCULADORA TIPS E-6'!$F$10="Contractual",ROUND('Tabla de Amortizacion'!D6,8),IF('CALCULADORA TIPS E-6'!$F$10="6% (Medio)",ROUND('Tabla de Amortizacion'!H6,8),IF('CALCULADORA TIPS E-6'!$F$10="10% (Medio Alto)",ROUND('Tabla de Amortizacion'!L6,8),IF('CALCULADORA TIPS E-6'!$F$10="14% (Alto)",ROUND('Tabla de Amortizacion'!P6,8),IF('CALCULADORA TIPS E-6'!$F$10=20%,ROUND('Tabla de Amortizacion'!T6,8),ROUND('Tabla de Amortizacion'!X6,8))))))</f>
        <v>0</v>
      </c>
    </row>
    <row r="6" spans="1:4" ht="12.75">
      <c r="A6" s="153">
        <f t="shared" si="0"/>
        <v>38493</v>
      </c>
      <c r="B6" s="154">
        <f>IF('CALCULADORA TIPS E-6'!$F$10="Contractual",ROUND('Tabla de Amortizacion'!B7,8),IF('CALCULADORA TIPS E-6'!$F$10="6% (Medio)",ROUND('Tabla de Amortizacion'!F7,8),IF('CALCULADORA TIPS E-6'!$F$10="10% (Medio Alto)",ROUND('Tabla de Amortizacion'!J7,8),IF('CALCULADORA TIPS E-6'!$F$10="14% (Alto)",ROUND('Tabla de Amortizacion'!N7,8),IF('CALCULADORA TIPS E-6'!$F$10=20%,ROUND('Tabla de Amortizacion'!R7,8),ROUND('Tabla de Amortizacion'!V7,8))))))</f>
        <v>0.03810902</v>
      </c>
      <c r="C6" s="154">
        <f>IF('CALCULADORA TIPS E-6'!$F$10="Contractual",ROUND('Tabla de Amortizacion'!C7,8),IF('CALCULADORA TIPS E-6'!$F$10="6% (Medio)",ROUND('Tabla de Amortizacion'!G7,8),IF('CALCULADORA TIPS E-6'!$F$10="10% (Medio Alto)",ROUND('Tabla de Amortizacion'!K7,8),IF('CALCULADORA TIPS E-6'!$F$10="14% (Alto)",ROUND('Tabla de Amortizacion'!O7,8),IF('CALCULADORA TIPS E-6'!$F$10=20%,ROUND('Tabla de Amortizacion'!S7,8),ROUND('Tabla de Amortizacion'!W7,8))))))</f>
        <v>0</v>
      </c>
      <c r="D6" s="154">
        <f>IF('CALCULADORA TIPS E-6'!$F$10="Contractual",ROUND('Tabla de Amortizacion'!D7,8),IF('CALCULADORA TIPS E-6'!$F$10="6% (Medio)",ROUND('Tabla de Amortizacion'!H7,8),IF('CALCULADORA TIPS E-6'!$F$10="10% (Medio Alto)",ROUND('Tabla de Amortizacion'!L7,8),IF('CALCULADORA TIPS E-6'!$F$10="14% (Alto)",ROUND('Tabla de Amortizacion'!P7,8),IF('CALCULADORA TIPS E-6'!$F$10=20%,ROUND('Tabla de Amortizacion'!T7,8),ROUND('Tabla de Amortizacion'!X7,8))))))</f>
        <v>0</v>
      </c>
    </row>
    <row r="7" spans="1:4" ht="12.75">
      <c r="A7" s="153">
        <f t="shared" si="0"/>
        <v>38524</v>
      </c>
      <c r="B7" s="154">
        <f>IF('CALCULADORA TIPS E-6'!$F$10="Contractual",ROUND('Tabla de Amortizacion'!B8,8),IF('CALCULADORA TIPS E-6'!$F$10="6% (Medio)",ROUND('Tabla de Amortizacion'!F8,8),IF('CALCULADORA TIPS E-6'!$F$10="10% (Medio Alto)",ROUND('Tabla de Amortizacion'!J8,8),IF('CALCULADORA TIPS E-6'!$F$10="14% (Alto)",ROUND('Tabla de Amortizacion'!N8,8),IF('CALCULADORA TIPS E-6'!$F$10=20%,ROUND('Tabla de Amortizacion'!R8,8),ROUND('Tabla de Amortizacion'!V8,8))))))</f>
        <v>0.03580935</v>
      </c>
      <c r="C7" s="154">
        <f>IF('CALCULADORA TIPS E-6'!$F$10="Contractual",ROUND('Tabla de Amortizacion'!C8,8),IF('CALCULADORA TIPS E-6'!$F$10="6% (Medio)",ROUND('Tabla de Amortizacion'!G8,8),IF('CALCULADORA TIPS E-6'!$F$10="10% (Medio Alto)",ROUND('Tabla de Amortizacion'!K8,8),IF('CALCULADORA TIPS E-6'!$F$10="14% (Alto)",ROUND('Tabla de Amortizacion'!O8,8),IF('CALCULADORA TIPS E-6'!$F$10=20%,ROUND('Tabla de Amortizacion'!S8,8),ROUND('Tabla de Amortizacion'!W8,8))))))</f>
        <v>0</v>
      </c>
      <c r="D7" s="154">
        <f>IF('CALCULADORA TIPS E-6'!$F$10="Contractual",ROUND('Tabla de Amortizacion'!D8,8),IF('CALCULADORA TIPS E-6'!$F$10="6% (Medio)",ROUND('Tabla de Amortizacion'!H8,8),IF('CALCULADORA TIPS E-6'!$F$10="10% (Medio Alto)",ROUND('Tabla de Amortizacion'!L8,8),IF('CALCULADORA TIPS E-6'!$F$10="14% (Alto)",ROUND('Tabla de Amortizacion'!P8,8),IF('CALCULADORA TIPS E-6'!$F$10=20%,ROUND('Tabla de Amortizacion'!T8,8),ROUND('Tabla de Amortizacion'!X8,8))))))</f>
        <v>0</v>
      </c>
    </row>
    <row r="8" spans="1:4" ht="12.75">
      <c r="A8" s="153">
        <f t="shared" si="0"/>
        <v>38554</v>
      </c>
      <c r="B8" s="154">
        <f>IF('CALCULADORA TIPS E-6'!$F$10="Contractual",ROUND('Tabla de Amortizacion'!B9,8),IF('CALCULADORA TIPS E-6'!$F$10="6% (Medio)",ROUND('Tabla de Amortizacion'!F9,8),IF('CALCULADORA TIPS E-6'!$F$10="10% (Medio Alto)",ROUND('Tabla de Amortizacion'!J9,8),IF('CALCULADORA TIPS E-6'!$F$10="14% (Alto)",ROUND('Tabla de Amortizacion'!N9,8),IF('CALCULADORA TIPS E-6'!$F$10=20%,ROUND('Tabla de Amortizacion'!R9,8),ROUND('Tabla de Amortizacion'!V9,8))))))</f>
        <v>0.04186175</v>
      </c>
      <c r="C8" s="154">
        <f>IF('CALCULADORA TIPS E-6'!$F$10="Contractual",ROUND('Tabla de Amortizacion'!C9,8),IF('CALCULADORA TIPS E-6'!$F$10="6% (Medio)",ROUND('Tabla de Amortizacion'!G9,8),IF('CALCULADORA TIPS E-6'!$F$10="10% (Medio Alto)",ROUND('Tabla de Amortizacion'!K9,8),IF('CALCULADORA TIPS E-6'!$F$10="14% (Alto)",ROUND('Tabla de Amortizacion'!O9,8),IF('CALCULADORA TIPS E-6'!$F$10=20%,ROUND('Tabla de Amortizacion'!S9,8),ROUND('Tabla de Amortizacion'!W9,8))))))</f>
        <v>0</v>
      </c>
      <c r="D8" s="154">
        <f>IF('CALCULADORA TIPS E-6'!$F$10="Contractual",ROUND('Tabla de Amortizacion'!D9,8),IF('CALCULADORA TIPS E-6'!$F$10="6% (Medio)",ROUND('Tabla de Amortizacion'!H9,8),IF('CALCULADORA TIPS E-6'!$F$10="10% (Medio Alto)",ROUND('Tabla de Amortizacion'!L9,8),IF('CALCULADORA TIPS E-6'!$F$10="14% (Alto)",ROUND('Tabla de Amortizacion'!P9,8),IF('CALCULADORA TIPS E-6'!$F$10=20%,ROUND('Tabla de Amortizacion'!T9,8),ROUND('Tabla de Amortizacion'!X9,8))))))</f>
        <v>0</v>
      </c>
    </row>
    <row r="9" spans="1:4" ht="12.75">
      <c r="A9" s="153">
        <f t="shared" si="0"/>
        <v>38585</v>
      </c>
      <c r="B9" s="154">
        <f>IF('CALCULADORA TIPS E-6'!$F$10="Contractual",ROUND('Tabla de Amortizacion'!B10,8),IF('CALCULADORA TIPS E-6'!$F$10="6% (Medio)",ROUND('Tabla de Amortizacion'!F10,8),IF('CALCULADORA TIPS E-6'!$F$10="10% (Medio Alto)",ROUND('Tabla de Amortizacion'!J10,8),IF('CALCULADORA TIPS E-6'!$F$10="14% (Alto)",ROUND('Tabla de Amortizacion'!N10,8),IF('CALCULADORA TIPS E-6'!$F$10=20%,ROUND('Tabla de Amortizacion'!R10,8),ROUND('Tabla de Amortizacion'!V10,8))))))</f>
        <v>0.03893996</v>
      </c>
      <c r="C9" s="154">
        <f>IF('CALCULADORA TIPS E-6'!$F$10="Contractual",ROUND('Tabla de Amortizacion'!C10,8),IF('CALCULADORA TIPS E-6'!$F$10="6% (Medio)",ROUND('Tabla de Amortizacion'!G10,8),IF('CALCULADORA TIPS E-6'!$F$10="10% (Medio Alto)",ROUND('Tabla de Amortizacion'!K10,8),IF('CALCULADORA TIPS E-6'!$F$10="14% (Alto)",ROUND('Tabla de Amortizacion'!O10,8),IF('CALCULADORA TIPS E-6'!$F$10=20%,ROUND('Tabla de Amortizacion'!S10,8),ROUND('Tabla de Amortizacion'!W10,8))))))</f>
        <v>0</v>
      </c>
      <c r="D9" s="154">
        <f>IF('CALCULADORA TIPS E-6'!$F$10="Contractual",ROUND('Tabla de Amortizacion'!D10,8),IF('CALCULADORA TIPS E-6'!$F$10="6% (Medio)",ROUND('Tabla de Amortizacion'!H10,8),IF('CALCULADORA TIPS E-6'!$F$10="10% (Medio Alto)",ROUND('Tabla de Amortizacion'!L10,8),IF('CALCULADORA TIPS E-6'!$F$10="14% (Alto)",ROUND('Tabla de Amortizacion'!P10,8),IF('CALCULADORA TIPS E-6'!$F$10=20%,ROUND('Tabla de Amortizacion'!T10,8),ROUND('Tabla de Amortizacion'!X10,8))))))</f>
        <v>0</v>
      </c>
    </row>
    <row r="10" spans="1:4" ht="12.75">
      <c r="A10" s="153">
        <f t="shared" si="0"/>
        <v>38616</v>
      </c>
      <c r="B10" s="154">
        <f>IF('CALCULADORA TIPS E-6'!$F$10="Contractual",ROUND('Tabla de Amortizacion'!B11,8),IF('CALCULADORA TIPS E-6'!$F$10="6% (Medio)",ROUND('Tabla de Amortizacion'!F11,8),IF('CALCULADORA TIPS E-6'!$F$10="10% (Medio Alto)",ROUND('Tabla de Amortizacion'!J11,8),IF('CALCULADORA TIPS E-6'!$F$10="14% (Alto)",ROUND('Tabla de Amortizacion'!N11,8),IF('CALCULADORA TIPS E-6'!$F$10=20%,ROUND('Tabla de Amortizacion'!R11,8),ROUND('Tabla de Amortizacion'!V11,8))))))</f>
        <v>0.0408219</v>
      </c>
      <c r="C10" s="154">
        <f>IF('CALCULADORA TIPS E-6'!$F$10="Contractual",ROUND('Tabla de Amortizacion'!C11,8),IF('CALCULADORA TIPS E-6'!$F$10="6% (Medio)",ROUND('Tabla de Amortizacion'!G11,8),IF('CALCULADORA TIPS E-6'!$F$10="10% (Medio Alto)",ROUND('Tabla de Amortizacion'!K11,8),IF('CALCULADORA TIPS E-6'!$F$10="14% (Alto)",ROUND('Tabla de Amortizacion'!O11,8),IF('CALCULADORA TIPS E-6'!$F$10=20%,ROUND('Tabla de Amortizacion'!S11,8),ROUND('Tabla de Amortizacion'!W11,8))))))</f>
        <v>0</v>
      </c>
      <c r="D10" s="154">
        <f>IF('CALCULADORA TIPS E-6'!$F$10="Contractual",ROUND('Tabla de Amortizacion'!D11,8),IF('CALCULADORA TIPS E-6'!$F$10="6% (Medio)",ROUND('Tabla de Amortizacion'!H11,8),IF('CALCULADORA TIPS E-6'!$F$10="10% (Medio Alto)",ROUND('Tabla de Amortizacion'!L11,8),IF('CALCULADORA TIPS E-6'!$F$10="14% (Alto)",ROUND('Tabla de Amortizacion'!P11,8),IF('CALCULADORA TIPS E-6'!$F$10=20%,ROUND('Tabla de Amortizacion'!T11,8),ROUND('Tabla de Amortizacion'!X11,8))))))</f>
        <v>0</v>
      </c>
    </row>
    <row r="11" spans="1:4" ht="12.75">
      <c r="A11" s="153">
        <f t="shared" si="0"/>
        <v>38646</v>
      </c>
      <c r="B11" s="154">
        <f>IF('CALCULADORA TIPS E-6'!$F$10="Contractual",ROUND('Tabla de Amortizacion'!B12,8),IF('CALCULADORA TIPS E-6'!$F$10="6% (Medio)",ROUND('Tabla de Amortizacion'!F12,8),IF('CALCULADORA TIPS E-6'!$F$10="10% (Medio Alto)",ROUND('Tabla de Amortizacion'!J12,8),IF('CALCULADORA TIPS E-6'!$F$10="14% (Alto)",ROUND('Tabla de Amortizacion'!N12,8),IF('CALCULADORA TIPS E-6'!$F$10=20%,ROUND('Tabla de Amortizacion'!R12,8),ROUND('Tabla de Amortizacion'!V12,8))))))</f>
        <v>0.04023188</v>
      </c>
      <c r="C11" s="154">
        <f>IF('CALCULADORA TIPS E-6'!$F$10="Contractual",ROUND('Tabla de Amortizacion'!C12,8),IF('CALCULADORA TIPS E-6'!$F$10="6% (Medio)",ROUND('Tabla de Amortizacion'!G12,8),IF('CALCULADORA TIPS E-6'!$F$10="10% (Medio Alto)",ROUND('Tabla de Amortizacion'!K12,8),IF('CALCULADORA TIPS E-6'!$F$10="14% (Alto)",ROUND('Tabla de Amortizacion'!O12,8),IF('CALCULADORA TIPS E-6'!$F$10=20%,ROUND('Tabla de Amortizacion'!S12,8),ROUND('Tabla de Amortizacion'!W12,8))))))</f>
        <v>0</v>
      </c>
      <c r="D11" s="154">
        <f>IF('CALCULADORA TIPS E-6'!$F$10="Contractual",ROUND('Tabla de Amortizacion'!D12,8),IF('CALCULADORA TIPS E-6'!$F$10="6% (Medio)",ROUND('Tabla de Amortizacion'!H12,8),IF('CALCULADORA TIPS E-6'!$F$10="10% (Medio Alto)",ROUND('Tabla de Amortizacion'!L12,8),IF('CALCULADORA TIPS E-6'!$F$10="14% (Alto)",ROUND('Tabla de Amortizacion'!P12,8),IF('CALCULADORA TIPS E-6'!$F$10=20%,ROUND('Tabla de Amortizacion'!T12,8),ROUND('Tabla de Amortizacion'!X12,8))))))</f>
        <v>0</v>
      </c>
    </row>
    <row r="12" spans="1:4" ht="12.75">
      <c r="A12" s="153">
        <f t="shared" si="0"/>
        <v>38677</v>
      </c>
      <c r="B12" s="154">
        <f>IF('CALCULADORA TIPS E-6'!$F$10="Contractual",ROUND('Tabla de Amortizacion'!B13,8),IF('CALCULADORA TIPS E-6'!$F$10="6% (Medio)",ROUND('Tabla de Amortizacion'!F13,8),IF('CALCULADORA TIPS E-6'!$F$10="10% (Medio Alto)",ROUND('Tabla de Amortizacion'!J13,8),IF('CALCULADORA TIPS E-6'!$F$10="14% (Alto)",ROUND('Tabla de Amortizacion'!N13,8),IF('CALCULADORA TIPS E-6'!$F$10=20%,ROUND('Tabla de Amortizacion'!R13,8),ROUND('Tabla de Amortizacion'!V13,8))))))</f>
        <v>0.03468324</v>
      </c>
      <c r="C12" s="154">
        <f>IF('CALCULADORA TIPS E-6'!$F$10="Contractual",ROUND('Tabla de Amortizacion'!C13,8),IF('CALCULADORA TIPS E-6'!$F$10="6% (Medio)",ROUND('Tabla de Amortizacion'!G13,8),IF('CALCULADORA TIPS E-6'!$F$10="10% (Medio Alto)",ROUND('Tabla de Amortizacion'!K13,8),IF('CALCULADORA TIPS E-6'!$F$10="14% (Alto)",ROUND('Tabla de Amortizacion'!O13,8),IF('CALCULADORA TIPS E-6'!$F$10=20%,ROUND('Tabla de Amortizacion'!S13,8),ROUND('Tabla de Amortizacion'!W13,8))))))</f>
        <v>0</v>
      </c>
      <c r="D12" s="154">
        <f>IF('CALCULADORA TIPS E-6'!$F$10="Contractual",ROUND('Tabla de Amortizacion'!D13,8),IF('CALCULADORA TIPS E-6'!$F$10="6% (Medio)",ROUND('Tabla de Amortizacion'!H13,8),IF('CALCULADORA TIPS E-6'!$F$10="10% (Medio Alto)",ROUND('Tabla de Amortizacion'!L13,8),IF('CALCULADORA TIPS E-6'!$F$10="14% (Alto)",ROUND('Tabla de Amortizacion'!P13,8),IF('CALCULADORA TIPS E-6'!$F$10=20%,ROUND('Tabla de Amortizacion'!T13,8),ROUND('Tabla de Amortizacion'!X13,8))))))</f>
        <v>0</v>
      </c>
    </row>
    <row r="13" spans="1:4" ht="12.75">
      <c r="A13" s="153">
        <f t="shared" si="0"/>
        <v>38707</v>
      </c>
      <c r="B13" s="154">
        <f>IF('CALCULADORA TIPS E-6'!$F$10="Contractual",ROUND('Tabla de Amortizacion'!B14,8),IF('CALCULADORA TIPS E-6'!$F$10="6% (Medio)",ROUND('Tabla de Amortizacion'!F14,8),IF('CALCULADORA TIPS E-6'!$F$10="10% (Medio Alto)",ROUND('Tabla de Amortizacion'!J14,8),IF('CALCULADORA TIPS E-6'!$F$10="14% (Alto)",ROUND('Tabla de Amortizacion'!N14,8),IF('CALCULADORA TIPS E-6'!$F$10=20%,ROUND('Tabla de Amortizacion'!R14,8),ROUND('Tabla de Amortizacion'!V14,8))))))</f>
        <v>0.04400543</v>
      </c>
      <c r="C13" s="154">
        <f>IF('CALCULADORA TIPS E-6'!$F$10="Contractual",ROUND('Tabla de Amortizacion'!C14,8),IF('CALCULADORA TIPS E-6'!$F$10="6% (Medio)",ROUND('Tabla de Amortizacion'!G14,8),IF('CALCULADORA TIPS E-6'!$F$10="10% (Medio Alto)",ROUND('Tabla de Amortizacion'!K14,8),IF('CALCULADORA TIPS E-6'!$F$10="14% (Alto)",ROUND('Tabla de Amortizacion'!O14,8),IF('CALCULADORA TIPS E-6'!$F$10=20%,ROUND('Tabla de Amortizacion'!S14,8),ROUND('Tabla de Amortizacion'!W14,8))))))</f>
        <v>0</v>
      </c>
      <c r="D13" s="154">
        <f>IF('CALCULADORA TIPS E-6'!$F$10="Contractual",ROUND('Tabla de Amortizacion'!D14,8),IF('CALCULADORA TIPS E-6'!$F$10="6% (Medio)",ROUND('Tabla de Amortizacion'!H14,8),IF('CALCULADORA TIPS E-6'!$F$10="10% (Medio Alto)",ROUND('Tabla de Amortizacion'!L14,8),IF('CALCULADORA TIPS E-6'!$F$10="14% (Alto)",ROUND('Tabla de Amortizacion'!P14,8),IF('CALCULADORA TIPS E-6'!$F$10=20%,ROUND('Tabla de Amortizacion'!T14,8),ROUND('Tabla de Amortizacion'!X14,8))))))</f>
        <v>0</v>
      </c>
    </row>
    <row r="14" spans="1:4" ht="12.75">
      <c r="A14" s="153">
        <f t="shared" si="0"/>
        <v>38738</v>
      </c>
      <c r="B14" s="154">
        <f>IF('CALCULADORA TIPS E-6'!$F$10="Contractual",ROUND('Tabla de Amortizacion'!B15,8),IF('CALCULADORA TIPS E-6'!$F$10="6% (Medio)",ROUND('Tabla de Amortizacion'!F15,8),IF('CALCULADORA TIPS E-6'!$F$10="10% (Medio Alto)",ROUND('Tabla de Amortizacion'!J15,8),IF('CALCULADORA TIPS E-6'!$F$10="14% (Alto)",ROUND('Tabla de Amortizacion'!N15,8),IF('CALCULADORA TIPS E-6'!$F$10=20%,ROUND('Tabla de Amortizacion'!R15,8),ROUND('Tabla de Amortizacion'!V15,8))))))</f>
        <v>0.04071869</v>
      </c>
      <c r="C14" s="154">
        <f>IF('CALCULADORA TIPS E-6'!$F$10="Contractual",ROUND('Tabla de Amortizacion'!C15,8),IF('CALCULADORA TIPS E-6'!$F$10="6% (Medio)",ROUND('Tabla de Amortizacion'!G15,8),IF('CALCULADORA TIPS E-6'!$F$10="10% (Medio Alto)",ROUND('Tabla de Amortizacion'!K15,8),IF('CALCULADORA TIPS E-6'!$F$10="14% (Alto)",ROUND('Tabla de Amortizacion'!O15,8),IF('CALCULADORA TIPS E-6'!$F$10=20%,ROUND('Tabla de Amortizacion'!S15,8),ROUND('Tabla de Amortizacion'!W15,8))))))</f>
        <v>0</v>
      </c>
      <c r="D14" s="154">
        <f>IF('CALCULADORA TIPS E-6'!$F$10="Contractual",ROUND('Tabla de Amortizacion'!D15,8),IF('CALCULADORA TIPS E-6'!$F$10="6% (Medio)",ROUND('Tabla de Amortizacion'!H15,8),IF('CALCULADORA TIPS E-6'!$F$10="10% (Medio Alto)",ROUND('Tabla de Amortizacion'!L15,8),IF('CALCULADORA TIPS E-6'!$F$10="14% (Alto)",ROUND('Tabla de Amortizacion'!P15,8),IF('CALCULADORA TIPS E-6'!$F$10=20%,ROUND('Tabla de Amortizacion'!T15,8),ROUND('Tabla de Amortizacion'!X15,8))))))</f>
        <v>0</v>
      </c>
    </row>
    <row r="15" spans="1:4" ht="12.75">
      <c r="A15" s="153">
        <f t="shared" si="0"/>
        <v>38769</v>
      </c>
      <c r="B15" s="154">
        <f>IF('CALCULADORA TIPS E-6'!$F$10="Contractual",ROUND('Tabla de Amortizacion'!B16,8),IF('CALCULADORA TIPS E-6'!$F$10="6% (Medio)",ROUND('Tabla de Amortizacion'!F16,8),IF('CALCULADORA TIPS E-6'!$F$10="10% (Medio Alto)",ROUND('Tabla de Amortizacion'!J16,8),IF('CALCULADORA TIPS E-6'!$F$10="14% (Alto)",ROUND('Tabla de Amortizacion'!N16,8),IF('CALCULADORA TIPS E-6'!$F$10=20%,ROUND('Tabla de Amortizacion'!R16,8),ROUND('Tabla de Amortizacion'!V16,8))))))</f>
        <v>0.03820928</v>
      </c>
      <c r="C15" s="154">
        <f>IF('CALCULADORA TIPS E-6'!$F$10="Contractual",ROUND('Tabla de Amortizacion'!C16,8),IF('CALCULADORA TIPS E-6'!$F$10="6% (Medio)",ROUND('Tabla de Amortizacion'!G16,8),IF('CALCULADORA TIPS E-6'!$F$10="10% (Medio Alto)",ROUND('Tabla de Amortizacion'!K16,8),IF('CALCULADORA TIPS E-6'!$F$10="14% (Alto)",ROUND('Tabla de Amortizacion'!O16,8),IF('CALCULADORA TIPS E-6'!$F$10=20%,ROUND('Tabla de Amortizacion'!S16,8),ROUND('Tabla de Amortizacion'!W16,8))))))</f>
        <v>0</v>
      </c>
      <c r="D15" s="154">
        <f>IF('CALCULADORA TIPS E-6'!$F$10="Contractual",ROUND('Tabla de Amortizacion'!D16,8),IF('CALCULADORA TIPS E-6'!$F$10="6% (Medio)",ROUND('Tabla de Amortizacion'!H16,8),IF('CALCULADORA TIPS E-6'!$F$10="10% (Medio Alto)",ROUND('Tabla de Amortizacion'!L16,8),IF('CALCULADORA TIPS E-6'!$F$10="14% (Alto)",ROUND('Tabla de Amortizacion'!P16,8),IF('CALCULADORA TIPS E-6'!$F$10=20%,ROUND('Tabla de Amortizacion'!T16,8),ROUND('Tabla de Amortizacion'!X16,8))))))</f>
        <v>0</v>
      </c>
    </row>
    <row r="16" spans="1:4" ht="12.75">
      <c r="A16" s="153">
        <f t="shared" si="0"/>
        <v>38797</v>
      </c>
      <c r="B16" s="154">
        <f>IF('CALCULADORA TIPS E-6'!$F$10="Contractual",ROUND('Tabla de Amortizacion'!B17,8),IF('CALCULADORA TIPS E-6'!$F$10="6% (Medio)",ROUND('Tabla de Amortizacion'!F17,8),IF('CALCULADORA TIPS E-6'!$F$10="10% (Medio Alto)",ROUND('Tabla de Amortizacion'!J17,8),IF('CALCULADORA TIPS E-6'!$F$10="14% (Alto)",ROUND('Tabla de Amortizacion'!N17,8),IF('CALCULADORA TIPS E-6'!$F$10=20%,ROUND('Tabla de Amortizacion'!R17,8),ROUND('Tabla de Amortizacion'!V17,8))))))</f>
        <v>0.03509452</v>
      </c>
      <c r="C16" s="154">
        <f>IF('CALCULADORA TIPS E-6'!$F$10="Contractual",ROUND('Tabla de Amortizacion'!C17,8),IF('CALCULADORA TIPS E-6'!$F$10="6% (Medio)",ROUND('Tabla de Amortizacion'!G17,8),IF('CALCULADORA TIPS E-6'!$F$10="10% (Medio Alto)",ROUND('Tabla de Amortizacion'!K17,8),IF('CALCULADORA TIPS E-6'!$F$10="14% (Alto)",ROUND('Tabla de Amortizacion'!O17,8),IF('CALCULADORA TIPS E-6'!$F$10=20%,ROUND('Tabla de Amortizacion'!S17,8),ROUND('Tabla de Amortizacion'!W17,8))))))</f>
        <v>0</v>
      </c>
      <c r="D16" s="154">
        <f>IF('CALCULADORA TIPS E-6'!$F$10="Contractual",ROUND('Tabla de Amortizacion'!D17,8),IF('CALCULADORA TIPS E-6'!$F$10="6% (Medio)",ROUND('Tabla de Amortizacion'!H17,8),IF('CALCULADORA TIPS E-6'!$F$10="10% (Medio Alto)",ROUND('Tabla de Amortizacion'!L17,8),IF('CALCULADORA TIPS E-6'!$F$10="14% (Alto)",ROUND('Tabla de Amortizacion'!P17,8),IF('CALCULADORA TIPS E-6'!$F$10=20%,ROUND('Tabla de Amortizacion'!T17,8),ROUND('Tabla de Amortizacion'!X17,8))))))</f>
        <v>0</v>
      </c>
    </row>
    <row r="17" spans="1:4" ht="12.75">
      <c r="A17" s="153">
        <f t="shared" si="0"/>
        <v>38828</v>
      </c>
      <c r="B17" s="154">
        <f>IF('CALCULADORA TIPS E-6'!$F$10="Contractual",ROUND('Tabla de Amortizacion'!B18,8),IF('CALCULADORA TIPS E-6'!$F$10="6% (Medio)",ROUND('Tabla de Amortizacion'!F18,8),IF('CALCULADORA TIPS E-6'!$F$10="10% (Medio Alto)",ROUND('Tabla de Amortizacion'!J18,8),IF('CALCULADORA TIPS E-6'!$F$10="14% (Alto)",ROUND('Tabla de Amortizacion'!N18,8),IF('CALCULADORA TIPS E-6'!$F$10=20%,ROUND('Tabla de Amortizacion'!R18,8),ROUND('Tabla de Amortizacion'!V18,8))))))</f>
        <v>0.0791871</v>
      </c>
      <c r="C17" s="154">
        <f>IF('CALCULADORA TIPS E-6'!$F$10="Contractual",ROUND('Tabla de Amortizacion'!C18,8),IF('CALCULADORA TIPS E-6'!$F$10="6% (Medio)",ROUND('Tabla de Amortizacion'!G18,8),IF('CALCULADORA TIPS E-6'!$F$10="10% (Medio Alto)",ROUND('Tabla de Amortizacion'!K18,8),IF('CALCULADORA TIPS E-6'!$F$10="14% (Alto)",ROUND('Tabla de Amortizacion'!O18,8),IF('CALCULADORA TIPS E-6'!$F$10=20%,ROUND('Tabla de Amortizacion'!S18,8),ROUND('Tabla de Amortizacion'!W18,8))))))</f>
        <v>0</v>
      </c>
      <c r="D17" s="154">
        <f>IF('CALCULADORA TIPS E-6'!$F$10="Contractual",ROUND('Tabla de Amortizacion'!D18,8),IF('CALCULADORA TIPS E-6'!$F$10="6% (Medio)",ROUND('Tabla de Amortizacion'!H18,8),IF('CALCULADORA TIPS E-6'!$F$10="10% (Medio Alto)",ROUND('Tabla de Amortizacion'!L18,8),IF('CALCULADORA TIPS E-6'!$F$10="14% (Alto)",ROUND('Tabla de Amortizacion'!P18,8),IF('CALCULADORA TIPS E-6'!$F$10=20%,ROUND('Tabla de Amortizacion'!T18,8),ROUND('Tabla de Amortizacion'!X18,8))))))</f>
        <v>0</v>
      </c>
    </row>
    <row r="18" spans="1:4" ht="12.75">
      <c r="A18" s="153">
        <f t="shared" si="0"/>
        <v>38858</v>
      </c>
      <c r="B18" s="154">
        <f>IF('CALCULADORA TIPS E-6'!$F$10="Contractual",ROUND('Tabla de Amortizacion'!B19,8),IF('CALCULADORA TIPS E-6'!$F$10="6% (Medio)",ROUND('Tabla de Amortizacion'!F19,8),IF('CALCULADORA TIPS E-6'!$F$10="10% (Medio Alto)",ROUND('Tabla de Amortizacion'!J19,8),IF('CALCULADORA TIPS E-6'!$F$10="14% (Alto)",ROUND('Tabla de Amortizacion'!N19,8),IF('CALCULADORA TIPS E-6'!$F$10=20%,ROUND('Tabla de Amortizacion'!R19,8),ROUND('Tabla de Amortizacion'!V19,8))))))</f>
        <v>0.13189181</v>
      </c>
      <c r="C18" s="154">
        <f>IF('CALCULADORA TIPS E-6'!$F$10="Contractual",ROUND('Tabla de Amortizacion'!C19,8),IF('CALCULADORA TIPS E-6'!$F$10="6% (Medio)",ROUND('Tabla de Amortizacion'!G19,8),IF('CALCULADORA TIPS E-6'!$F$10="10% (Medio Alto)",ROUND('Tabla de Amortizacion'!K19,8),IF('CALCULADORA TIPS E-6'!$F$10="14% (Alto)",ROUND('Tabla de Amortizacion'!O19,8),IF('CALCULADORA TIPS E-6'!$F$10=20%,ROUND('Tabla de Amortizacion'!S19,8),ROUND('Tabla de Amortizacion'!W19,8))))))</f>
        <v>0</v>
      </c>
      <c r="D18" s="154">
        <f>IF('CALCULADORA TIPS E-6'!$F$10="Contractual",ROUND('Tabla de Amortizacion'!D19,8),IF('CALCULADORA TIPS E-6'!$F$10="6% (Medio)",ROUND('Tabla de Amortizacion'!H19,8),IF('CALCULADORA TIPS E-6'!$F$10="10% (Medio Alto)",ROUND('Tabla de Amortizacion'!L19,8),IF('CALCULADORA TIPS E-6'!$F$10="14% (Alto)",ROUND('Tabla de Amortizacion'!P19,8),IF('CALCULADORA TIPS E-6'!$F$10=20%,ROUND('Tabla de Amortizacion'!T19,8),ROUND('Tabla de Amortizacion'!X19,8))))))</f>
        <v>0</v>
      </c>
    </row>
    <row r="19" spans="1:4" ht="12.75">
      <c r="A19" s="153">
        <f t="shared" si="0"/>
        <v>38889</v>
      </c>
      <c r="B19" s="154">
        <f>IF('CALCULADORA TIPS E-6'!$F$10="Contractual",ROUND('Tabla de Amortizacion'!B20,8),IF('CALCULADORA TIPS E-6'!$F$10="6% (Medio)",ROUND('Tabla de Amortizacion'!F20,8),IF('CALCULADORA TIPS E-6'!$F$10="10% (Medio Alto)",ROUND('Tabla de Amortizacion'!J20,8),IF('CALCULADORA TIPS E-6'!$F$10="14% (Alto)",ROUND('Tabla de Amortizacion'!N20,8),IF('CALCULADORA TIPS E-6'!$F$10=20%,ROUND('Tabla de Amortizacion'!R20,8),ROUND('Tabla de Amortizacion'!V20,8))))))</f>
        <v>0.17045641</v>
      </c>
      <c r="C19" s="154">
        <f>IF('CALCULADORA TIPS E-6'!$F$10="Contractual",ROUND('Tabla de Amortizacion'!C20,8),IF('CALCULADORA TIPS E-6'!$F$10="6% (Medio)",ROUND('Tabla de Amortizacion'!G20,8),IF('CALCULADORA TIPS E-6'!$F$10="10% (Medio Alto)",ROUND('Tabla de Amortizacion'!K20,8),IF('CALCULADORA TIPS E-6'!$F$10="14% (Alto)",ROUND('Tabla de Amortizacion'!O20,8),IF('CALCULADORA TIPS E-6'!$F$10=20%,ROUND('Tabla de Amortizacion'!S20,8),ROUND('Tabla de Amortizacion'!W20,8))))))</f>
        <v>0</v>
      </c>
      <c r="D19" s="154">
        <f>IF('CALCULADORA TIPS E-6'!$F$10="Contractual",ROUND('Tabla de Amortizacion'!D20,8),IF('CALCULADORA TIPS E-6'!$F$10="6% (Medio)",ROUND('Tabla de Amortizacion'!H20,8),IF('CALCULADORA TIPS E-6'!$F$10="10% (Medio Alto)",ROUND('Tabla de Amortizacion'!L20,8),IF('CALCULADORA TIPS E-6'!$F$10="14% (Alto)",ROUND('Tabla de Amortizacion'!P20,8),IF('CALCULADORA TIPS E-6'!$F$10=20%,ROUND('Tabla de Amortizacion'!T20,8),ROUND('Tabla de Amortizacion'!X20,8))))))</f>
        <v>0</v>
      </c>
    </row>
    <row r="20" spans="1:4" ht="12.75">
      <c r="A20" s="153">
        <f t="shared" si="0"/>
        <v>38919</v>
      </c>
      <c r="B20" s="154">
        <f>IF('CALCULADORA TIPS E-6'!$F$10="Contractual",ROUND('Tabla de Amortizacion'!B21,8),IF('CALCULADORA TIPS E-6'!$F$10="6% (Medio)",ROUND('Tabla de Amortizacion'!F21,8),IF('CALCULADORA TIPS E-6'!$F$10="10% (Medio Alto)",ROUND('Tabla de Amortizacion'!J21,8),IF('CALCULADORA TIPS E-6'!$F$10="14% (Alto)",ROUND('Tabla de Amortizacion'!N21,8),IF('CALCULADORA TIPS E-6'!$F$10=20%,ROUND('Tabla de Amortizacion'!R21,8),ROUND('Tabla de Amortizacion'!V21,8))))))</f>
        <v>0.04489393</v>
      </c>
      <c r="C20" s="154">
        <f>IF('CALCULADORA TIPS E-6'!$F$10="Contractual",ROUND('Tabla de Amortizacion'!C21,8),IF('CALCULADORA TIPS E-6'!$F$10="6% (Medio)",ROUND('Tabla de Amortizacion'!G21,8),IF('CALCULADORA TIPS E-6'!$F$10="10% (Medio Alto)",ROUND('Tabla de Amortizacion'!K21,8),IF('CALCULADORA TIPS E-6'!$F$10="14% (Alto)",ROUND('Tabla de Amortizacion'!O21,8),IF('CALCULADORA TIPS E-6'!$F$10=20%,ROUND('Tabla de Amortizacion'!S21,8),ROUND('Tabla de Amortizacion'!W21,8))))))</f>
        <v>0.05019189</v>
      </c>
      <c r="D20" s="154">
        <f>IF('CALCULADORA TIPS E-6'!$F$10="Contractual",ROUND('Tabla de Amortizacion'!D21,8),IF('CALCULADORA TIPS E-6'!$F$10="6% (Medio)",ROUND('Tabla de Amortizacion'!H21,8),IF('CALCULADORA TIPS E-6'!$F$10="10% (Medio Alto)",ROUND('Tabla de Amortizacion'!L21,8),IF('CALCULADORA TIPS E-6'!$F$10="14% (Alto)",ROUND('Tabla de Amortizacion'!P21,8),IF('CALCULADORA TIPS E-6'!$F$10=20%,ROUND('Tabla de Amortizacion'!T21,8),ROUND('Tabla de Amortizacion'!X21,8))))))</f>
        <v>0</v>
      </c>
    </row>
    <row r="21" spans="1:4" ht="12.75">
      <c r="A21" s="153">
        <f t="shared" si="0"/>
        <v>38950</v>
      </c>
      <c r="B21" s="154">
        <f>IF('CALCULADORA TIPS E-6'!$F$10="Contractual",ROUND('Tabla de Amortizacion'!B22,8),IF('CALCULADORA TIPS E-6'!$F$10="6% (Medio)",ROUND('Tabla de Amortizacion'!F22,8),IF('CALCULADORA TIPS E-6'!$F$10="10% (Medio Alto)",ROUND('Tabla de Amortizacion'!J22,8),IF('CALCULADORA TIPS E-6'!$F$10="14% (Alto)",ROUND('Tabla de Amortizacion'!N22,8),IF('CALCULADORA TIPS E-6'!$F$10=20%,ROUND('Tabla de Amortizacion'!R22,8),ROUND('Tabla de Amortizacion'!V22,8))))))</f>
        <v>0</v>
      </c>
      <c r="C21" s="154">
        <f>IF('CALCULADORA TIPS E-6'!$F$10="Contractual",ROUND('Tabla de Amortizacion'!C22,8),IF('CALCULADORA TIPS E-6'!$F$10="6% (Medio)",ROUND('Tabla de Amortizacion'!G22,8),IF('CALCULADORA TIPS E-6'!$F$10="10% (Medio Alto)",ROUND('Tabla de Amortizacion'!K22,8),IF('CALCULADORA TIPS E-6'!$F$10="14% (Alto)",ROUND('Tabla de Amortizacion'!O22,8),IF('CALCULADORA TIPS E-6'!$F$10=20%,ROUND('Tabla de Amortizacion'!S22,8),ROUND('Tabla de Amortizacion'!W22,8))))))</f>
        <v>0.09956531</v>
      </c>
      <c r="D21" s="154">
        <f>IF('CALCULADORA TIPS E-6'!$F$10="Contractual",ROUND('Tabla de Amortizacion'!D22,8),IF('CALCULADORA TIPS E-6'!$F$10="6% (Medio)",ROUND('Tabla de Amortizacion'!H22,8),IF('CALCULADORA TIPS E-6'!$F$10="10% (Medio Alto)",ROUND('Tabla de Amortizacion'!L22,8),IF('CALCULADORA TIPS E-6'!$F$10="14% (Alto)",ROUND('Tabla de Amortizacion'!P22,8),IF('CALCULADORA TIPS E-6'!$F$10=20%,ROUND('Tabla de Amortizacion'!T22,8),ROUND('Tabla de Amortizacion'!X22,8))))))</f>
        <v>0</v>
      </c>
    </row>
    <row r="22" spans="1:4" ht="12.75">
      <c r="A22" s="153">
        <f t="shared" si="0"/>
        <v>38981</v>
      </c>
      <c r="B22" s="154">
        <f>IF('CALCULADORA TIPS E-6'!$F$10="Contractual",ROUND('Tabla de Amortizacion'!B23,8),IF('CALCULADORA TIPS E-6'!$F$10="6% (Medio)",ROUND('Tabla de Amortizacion'!F23,8),IF('CALCULADORA TIPS E-6'!$F$10="10% (Medio Alto)",ROUND('Tabla de Amortizacion'!J23,8),IF('CALCULADORA TIPS E-6'!$F$10="14% (Alto)",ROUND('Tabla de Amortizacion'!N23,8),IF('CALCULADORA TIPS E-6'!$F$10=20%,ROUND('Tabla de Amortizacion'!R23,8),ROUND('Tabla de Amortizacion'!V23,8))))))</f>
        <v>0</v>
      </c>
      <c r="C22" s="154">
        <f>IF('CALCULADORA TIPS E-6'!$F$10="Contractual",ROUND('Tabla de Amortizacion'!C23,8),IF('CALCULADORA TIPS E-6'!$F$10="6% (Medio)",ROUND('Tabla de Amortizacion'!G23,8),IF('CALCULADORA TIPS E-6'!$F$10="10% (Medio Alto)",ROUND('Tabla de Amortizacion'!K23,8),IF('CALCULADORA TIPS E-6'!$F$10="14% (Alto)",ROUND('Tabla de Amortizacion'!O23,8),IF('CALCULADORA TIPS E-6'!$F$10=20%,ROUND('Tabla de Amortizacion'!S23,8),ROUND('Tabla de Amortizacion'!W23,8))))))</f>
        <v>0.08317965</v>
      </c>
      <c r="D22" s="154">
        <f>IF('CALCULADORA TIPS E-6'!$F$10="Contractual",ROUND('Tabla de Amortizacion'!D23,8),IF('CALCULADORA TIPS E-6'!$F$10="6% (Medio)",ROUND('Tabla de Amortizacion'!H23,8),IF('CALCULADORA TIPS E-6'!$F$10="10% (Medio Alto)",ROUND('Tabla de Amortizacion'!L23,8),IF('CALCULADORA TIPS E-6'!$F$10="14% (Alto)",ROUND('Tabla de Amortizacion'!P23,8),IF('CALCULADORA TIPS E-6'!$F$10=20%,ROUND('Tabla de Amortizacion'!T23,8),ROUND('Tabla de Amortizacion'!X23,8))))))</f>
        <v>0</v>
      </c>
    </row>
    <row r="23" spans="1:4" ht="12.75">
      <c r="A23" s="153">
        <f t="shared" si="0"/>
        <v>39011</v>
      </c>
      <c r="B23" s="154">
        <f>IF('CALCULADORA TIPS E-6'!$F$10="Contractual",ROUND('Tabla de Amortizacion'!B24,8),IF('CALCULADORA TIPS E-6'!$F$10="6% (Medio)",ROUND('Tabla de Amortizacion'!F24,8),IF('CALCULADORA TIPS E-6'!$F$10="10% (Medio Alto)",ROUND('Tabla de Amortizacion'!J24,8),IF('CALCULADORA TIPS E-6'!$F$10="14% (Alto)",ROUND('Tabla de Amortizacion'!N24,8),IF('CALCULADORA TIPS E-6'!$F$10=20%,ROUND('Tabla de Amortizacion'!R24,8),ROUND('Tabla de Amortizacion'!V24,8))))))</f>
        <v>0</v>
      </c>
      <c r="C23" s="154">
        <f>IF('CALCULADORA TIPS E-6'!$F$10="Contractual",ROUND('Tabla de Amortizacion'!C24,8),IF('CALCULADORA TIPS E-6'!$F$10="6% (Medio)",ROUND('Tabla de Amortizacion'!G24,8),IF('CALCULADORA TIPS E-6'!$F$10="10% (Medio Alto)",ROUND('Tabla de Amortizacion'!K24,8),IF('CALCULADORA TIPS E-6'!$F$10="14% (Alto)",ROUND('Tabla de Amortizacion'!O24,8),IF('CALCULADORA TIPS E-6'!$F$10=20%,ROUND('Tabla de Amortizacion'!S24,8),ROUND('Tabla de Amortizacion'!W24,8))))))</f>
        <v>0.06372728</v>
      </c>
      <c r="D23" s="154">
        <f>IF('CALCULADORA TIPS E-6'!$F$10="Contractual",ROUND('Tabla de Amortizacion'!D24,8),IF('CALCULADORA TIPS E-6'!$F$10="6% (Medio)",ROUND('Tabla de Amortizacion'!H24,8),IF('CALCULADORA TIPS E-6'!$F$10="10% (Medio Alto)",ROUND('Tabla de Amortizacion'!L24,8),IF('CALCULADORA TIPS E-6'!$F$10="14% (Alto)",ROUND('Tabla de Amortizacion'!P24,8),IF('CALCULADORA TIPS E-6'!$F$10=20%,ROUND('Tabla de Amortizacion'!T24,8),ROUND('Tabla de Amortizacion'!X24,8))))))</f>
        <v>0</v>
      </c>
    </row>
    <row r="24" spans="1:4" ht="12.75">
      <c r="A24" s="153">
        <f t="shared" si="0"/>
        <v>39042</v>
      </c>
      <c r="B24" s="154">
        <f>IF('CALCULADORA TIPS E-6'!$F$10="Contractual",ROUND('Tabla de Amortizacion'!B25,8),IF('CALCULADORA TIPS E-6'!$F$10="6% (Medio)",ROUND('Tabla de Amortizacion'!F25,8),IF('CALCULADORA TIPS E-6'!$F$10="10% (Medio Alto)",ROUND('Tabla de Amortizacion'!J25,8),IF('CALCULADORA TIPS E-6'!$F$10="14% (Alto)",ROUND('Tabla de Amortizacion'!N25,8),IF('CALCULADORA TIPS E-6'!$F$10=20%,ROUND('Tabla de Amortizacion'!R25,8),ROUND('Tabla de Amortizacion'!V25,8))))))</f>
        <v>0</v>
      </c>
      <c r="C24" s="154">
        <f>IF('CALCULADORA TIPS E-6'!$F$10="Contractual",ROUND('Tabla de Amortizacion'!C25,8),IF('CALCULADORA TIPS E-6'!$F$10="6% (Medio)",ROUND('Tabla de Amortizacion'!G25,8),IF('CALCULADORA TIPS E-6'!$F$10="10% (Medio Alto)",ROUND('Tabla de Amortizacion'!K25,8),IF('CALCULADORA TIPS E-6'!$F$10="14% (Alto)",ROUND('Tabla de Amortizacion'!O25,8),IF('CALCULADORA TIPS E-6'!$F$10=20%,ROUND('Tabla de Amortizacion'!S25,8),ROUND('Tabla de Amortizacion'!W25,8))))))</f>
        <v>0.05379836</v>
      </c>
      <c r="D24" s="154">
        <f>IF('CALCULADORA TIPS E-6'!$F$10="Contractual",ROUND('Tabla de Amortizacion'!D25,8),IF('CALCULADORA TIPS E-6'!$F$10="6% (Medio)",ROUND('Tabla de Amortizacion'!H25,8),IF('CALCULADORA TIPS E-6'!$F$10="10% (Medio Alto)",ROUND('Tabla de Amortizacion'!L25,8),IF('CALCULADORA TIPS E-6'!$F$10="14% (Alto)",ROUND('Tabla de Amortizacion'!P25,8),IF('CALCULADORA TIPS E-6'!$F$10=20%,ROUND('Tabla de Amortizacion'!T25,8),ROUND('Tabla de Amortizacion'!X25,8))))))</f>
        <v>0</v>
      </c>
    </row>
    <row r="25" spans="1:4" ht="12.75">
      <c r="A25" s="153">
        <f t="shared" si="0"/>
        <v>39072</v>
      </c>
      <c r="B25" s="154">
        <f>IF('CALCULADORA TIPS E-6'!$F$10="Contractual",ROUND('Tabla de Amortizacion'!B26,8),IF('CALCULADORA TIPS E-6'!$F$10="6% (Medio)",ROUND('Tabla de Amortizacion'!F26,8),IF('CALCULADORA TIPS E-6'!$F$10="10% (Medio Alto)",ROUND('Tabla de Amortizacion'!J26,8),IF('CALCULADORA TIPS E-6'!$F$10="14% (Alto)",ROUND('Tabla de Amortizacion'!N26,8),IF('CALCULADORA TIPS E-6'!$F$10=20%,ROUND('Tabla de Amortizacion'!R26,8),ROUND('Tabla de Amortizacion'!V26,8))))))</f>
        <v>0</v>
      </c>
      <c r="C25" s="154">
        <f>IF('CALCULADORA TIPS E-6'!$F$10="Contractual",ROUND('Tabla de Amortizacion'!C26,8),IF('CALCULADORA TIPS E-6'!$F$10="6% (Medio)",ROUND('Tabla de Amortizacion'!G26,8),IF('CALCULADORA TIPS E-6'!$F$10="10% (Medio Alto)",ROUND('Tabla de Amortizacion'!K26,8),IF('CALCULADORA TIPS E-6'!$F$10="14% (Alto)",ROUND('Tabla de Amortizacion'!O26,8),IF('CALCULADORA TIPS E-6'!$F$10=20%,ROUND('Tabla de Amortizacion'!S26,8),ROUND('Tabla de Amortizacion'!W26,8))))))</f>
        <v>0.04343637</v>
      </c>
      <c r="D25" s="154">
        <f>IF('CALCULADORA TIPS E-6'!$F$10="Contractual",ROUND('Tabla de Amortizacion'!D26,8),IF('CALCULADORA TIPS E-6'!$F$10="6% (Medio)",ROUND('Tabla de Amortizacion'!H26,8),IF('CALCULADORA TIPS E-6'!$F$10="10% (Medio Alto)",ROUND('Tabla de Amortizacion'!L26,8),IF('CALCULADORA TIPS E-6'!$F$10="14% (Alto)",ROUND('Tabla de Amortizacion'!P26,8),IF('CALCULADORA TIPS E-6'!$F$10=20%,ROUND('Tabla de Amortizacion'!T26,8),ROUND('Tabla de Amortizacion'!X26,8))))))</f>
        <v>0</v>
      </c>
    </row>
    <row r="26" spans="1:4" ht="12.75">
      <c r="A26" s="153">
        <f t="shared" si="0"/>
        <v>39103</v>
      </c>
      <c r="B26" s="154">
        <f>IF('CALCULADORA TIPS E-6'!$F$10="Contractual",ROUND('Tabla de Amortizacion'!B27,8),IF('CALCULADORA TIPS E-6'!$F$10="6% (Medio)",ROUND('Tabla de Amortizacion'!F27,8),IF('CALCULADORA TIPS E-6'!$F$10="10% (Medio Alto)",ROUND('Tabla de Amortizacion'!J27,8),IF('CALCULADORA TIPS E-6'!$F$10="14% (Alto)",ROUND('Tabla de Amortizacion'!N27,8),IF('CALCULADORA TIPS E-6'!$F$10=20%,ROUND('Tabla de Amortizacion'!R27,8),ROUND('Tabla de Amortizacion'!V27,8))))))</f>
        <v>0</v>
      </c>
      <c r="C26" s="154">
        <f>IF('CALCULADORA TIPS E-6'!$F$10="Contractual",ROUND('Tabla de Amortizacion'!C27,8),IF('CALCULADORA TIPS E-6'!$F$10="6% (Medio)",ROUND('Tabla de Amortizacion'!G27,8),IF('CALCULADORA TIPS E-6'!$F$10="10% (Medio Alto)",ROUND('Tabla de Amortizacion'!K27,8),IF('CALCULADORA TIPS E-6'!$F$10="14% (Alto)",ROUND('Tabla de Amortizacion'!O27,8),IF('CALCULADORA TIPS E-6'!$F$10=20%,ROUND('Tabla de Amortizacion'!S27,8),ROUND('Tabla de Amortizacion'!W27,8))))))</f>
        <v>0.03377193</v>
      </c>
      <c r="D26" s="154">
        <f>IF('CALCULADORA TIPS E-6'!$F$10="Contractual",ROUND('Tabla de Amortizacion'!D27,8),IF('CALCULADORA TIPS E-6'!$F$10="6% (Medio)",ROUND('Tabla de Amortizacion'!H27,8),IF('CALCULADORA TIPS E-6'!$F$10="10% (Medio Alto)",ROUND('Tabla de Amortizacion'!L27,8),IF('CALCULADORA TIPS E-6'!$F$10="14% (Alto)",ROUND('Tabla de Amortizacion'!P27,8),IF('CALCULADORA TIPS E-6'!$F$10=20%,ROUND('Tabla de Amortizacion'!T27,8),ROUND('Tabla de Amortizacion'!X27,8))))))</f>
        <v>0</v>
      </c>
    </row>
    <row r="27" spans="1:4" ht="12.75">
      <c r="A27" s="153">
        <f t="shared" si="0"/>
        <v>39134</v>
      </c>
      <c r="B27" s="154">
        <f>IF('CALCULADORA TIPS E-6'!$F$10="Contractual",ROUND('Tabla de Amortizacion'!B28,8),IF('CALCULADORA TIPS E-6'!$F$10="6% (Medio)",ROUND('Tabla de Amortizacion'!F28,8),IF('CALCULADORA TIPS E-6'!$F$10="10% (Medio Alto)",ROUND('Tabla de Amortizacion'!J28,8),IF('CALCULADORA TIPS E-6'!$F$10="14% (Alto)",ROUND('Tabla de Amortizacion'!N28,8),IF('CALCULADORA TIPS E-6'!$F$10=20%,ROUND('Tabla de Amortizacion'!R28,8),ROUND('Tabla de Amortizacion'!V28,8))))))</f>
        <v>0</v>
      </c>
      <c r="C27" s="154">
        <f>IF('CALCULADORA TIPS E-6'!$F$10="Contractual",ROUND('Tabla de Amortizacion'!C28,8),IF('CALCULADORA TIPS E-6'!$F$10="6% (Medio)",ROUND('Tabla de Amortizacion'!G28,8),IF('CALCULADORA TIPS E-6'!$F$10="10% (Medio Alto)",ROUND('Tabla de Amortizacion'!K28,8),IF('CALCULADORA TIPS E-6'!$F$10="14% (Alto)",ROUND('Tabla de Amortizacion'!O28,8),IF('CALCULADORA TIPS E-6'!$F$10=20%,ROUND('Tabla de Amortizacion'!S28,8),ROUND('Tabla de Amortizacion'!W28,8))))))</f>
        <v>0.04509511</v>
      </c>
      <c r="D27" s="154">
        <f>IF('CALCULADORA TIPS E-6'!$F$10="Contractual",ROUND('Tabla de Amortizacion'!D28,8),IF('CALCULADORA TIPS E-6'!$F$10="6% (Medio)",ROUND('Tabla de Amortizacion'!H28,8),IF('CALCULADORA TIPS E-6'!$F$10="10% (Medio Alto)",ROUND('Tabla de Amortizacion'!L28,8),IF('CALCULADORA TIPS E-6'!$F$10="14% (Alto)",ROUND('Tabla de Amortizacion'!P28,8),IF('CALCULADORA TIPS E-6'!$F$10=20%,ROUND('Tabla de Amortizacion'!T28,8),ROUND('Tabla de Amortizacion'!X28,8))))))</f>
        <v>0</v>
      </c>
    </row>
    <row r="28" spans="1:4" ht="12.75">
      <c r="A28" s="153">
        <f t="shared" si="0"/>
        <v>39162</v>
      </c>
      <c r="B28" s="154">
        <f>IF('CALCULADORA TIPS E-6'!$F$10="Contractual",ROUND('Tabla de Amortizacion'!B29,8),IF('CALCULADORA TIPS E-6'!$F$10="6% (Medio)",ROUND('Tabla de Amortizacion'!F29,8),IF('CALCULADORA TIPS E-6'!$F$10="10% (Medio Alto)",ROUND('Tabla de Amortizacion'!J29,8),IF('CALCULADORA TIPS E-6'!$F$10="14% (Alto)",ROUND('Tabla de Amortizacion'!N29,8),IF('CALCULADORA TIPS E-6'!$F$10=20%,ROUND('Tabla de Amortizacion'!R29,8),ROUND('Tabla de Amortizacion'!V29,8))))))</f>
        <v>0</v>
      </c>
      <c r="C28" s="154">
        <f>IF('CALCULADORA TIPS E-6'!$F$10="Contractual",ROUND('Tabla de Amortizacion'!C29,8),IF('CALCULADORA TIPS E-6'!$F$10="6% (Medio)",ROUND('Tabla de Amortizacion'!G29,8),IF('CALCULADORA TIPS E-6'!$F$10="10% (Medio Alto)",ROUND('Tabla de Amortizacion'!K29,8),IF('CALCULADORA TIPS E-6'!$F$10="14% (Alto)",ROUND('Tabla de Amortizacion'!O29,8),IF('CALCULADORA TIPS E-6'!$F$10=20%,ROUND('Tabla de Amortizacion'!S29,8),ROUND('Tabla de Amortizacion'!W29,8))))))</f>
        <v>0.03174143</v>
      </c>
      <c r="D28" s="154">
        <f>IF('CALCULADORA TIPS E-6'!$F$10="Contractual",ROUND('Tabla de Amortizacion'!D29,8),IF('CALCULADORA TIPS E-6'!$F$10="6% (Medio)",ROUND('Tabla de Amortizacion'!H29,8),IF('CALCULADORA TIPS E-6'!$F$10="10% (Medio Alto)",ROUND('Tabla de Amortizacion'!L29,8),IF('CALCULADORA TIPS E-6'!$F$10="14% (Alto)",ROUND('Tabla de Amortizacion'!P29,8),IF('CALCULADORA TIPS E-6'!$F$10=20%,ROUND('Tabla de Amortizacion'!T29,8),ROUND('Tabla de Amortizacion'!X29,8))))))</f>
        <v>0</v>
      </c>
    </row>
    <row r="29" spans="1:4" ht="12.75">
      <c r="A29" s="153">
        <f t="shared" si="0"/>
        <v>39193</v>
      </c>
      <c r="B29" s="154">
        <f>IF('CALCULADORA TIPS E-6'!$F$10="Contractual",ROUND('Tabla de Amortizacion'!B30,8),IF('CALCULADORA TIPS E-6'!$F$10="6% (Medio)",ROUND('Tabla de Amortizacion'!F30,8),IF('CALCULADORA TIPS E-6'!$F$10="10% (Medio Alto)",ROUND('Tabla de Amortizacion'!J30,8),IF('CALCULADORA TIPS E-6'!$F$10="14% (Alto)",ROUND('Tabla de Amortizacion'!N30,8),IF('CALCULADORA TIPS E-6'!$F$10=20%,ROUND('Tabla de Amortizacion'!R30,8),ROUND('Tabla de Amortizacion'!V30,8))))))</f>
        <v>0</v>
      </c>
      <c r="C29" s="154">
        <f>IF('CALCULADORA TIPS E-6'!$F$10="Contractual",ROUND('Tabla de Amortizacion'!C30,8),IF('CALCULADORA TIPS E-6'!$F$10="6% (Medio)",ROUND('Tabla de Amortizacion'!G30,8),IF('CALCULADORA TIPS E-6'!$F$10="10% (Medio Alto)",ROUND('Tabla de Amortizacion'!K30,8),IF('CALCULADORA TIPS E-6'!$F$10="14% (Alto)",ROUND('Tabla de Amortizacion'!O30,8),IF('CALCULADORA TIPS E-6'!$F$10=20%,ROUND('Tabla de Amortizacion'!S30,8),ROUND('Tabla de Amortizacion'!W30,8))))))</f>
        <v>0.02869126</v>
      </c>
      <c r="D29" s="154">
        <f>IF('CALCULADORA TIPS E-6'!$F$10="Contractual",ROUND('Tabla de Amortizacion'!D30,8),IF('CALCULADORA TIPS E-6'!$F$10="6% (Medio)",ROUND('Tabla de Amortizacion'!H30,8),IF('CALCULADORA TIPS E-6'!$F$10="10% (Medio Alto)",ROUND('Tabla de Amortizacion'!L30,8),IF('CALCULADORA TIPS E-6'!$F$10="14% (Alto)",ROUND('Tabla de Amortizacion'!P30,8),IF('CALCULADORA TIPS E-6'!$F$10=20%,ROUND('Tabla de Amortizacion'!T30,8),ROUND('Tabla de Amortizacion'!X30,8))))))</f>
        <v>0</v>
      </c>
    </row>
    <row r="30" spans="1:4" ht="12.75">
      <c r="A30" s="153">
        <f t="shared" si="0"/>
        <v>39223</v>
      </c>
      <c r="B30" s="154">
        <f>IF('CALCULADORA TIPS E-6'!$F$10="Contractual",ROUND('Tabla de Amortizacion'!B31,8),IF('CALCULADORA TIPS E-6'!$F$10="6% (Medio)",ROUND('Tabla de Amortizacion'!F31,8),IF('CALCULADORA TIPS E-6'!$F$10="10% (Medio Alto)",ROUND('Tabla de Amortizacion'!J31,8),IF('CALCULADORA TIPS E-6'!$F$10="14% (Alto)",ROUND('Tabla de Amortizacion'!N31,8),IF('CALCULADORA TIPS E-6'!$F$10=20%,ROUND('Tabla de Amortizacion'!R31,8),ROUND('Tabla de Amortizacion'!V31,8))))))</f>
        <v>0</v>
      </c>
      <c r="C30" s="154">
        <f>IF('CALCULADORA TIPS E-6'!$F$10="Contractual",ROUND('Tabla de Amortizacion'!C31,8),IF('CALCULADORA TIPS E-6'!$F$10="6% (Medio)",ROUND('Tabla de Amortizacion'!G31,8),IF('CALCULADORA TIPS E-6'!$F$10="10% (Medio Alto)",ROUND('Tabla de Amortizacion'!K31,8),IF('CALCULADORA TIPS E-6'!$F$10="14% (Alto)",ROUND('Tabla de Amortizacion'!O31,8),IF('CALCULADORA TIPS E-6'!$F$10=20%,ROUND('Tabla de Amortizacion'!S31,8),ROUND('Tabla de Amortizacion'!W31,8))))))</f>
        <v>0.02817462</v>
      </c>
      <c r="D30" s="154">
        <f>IF('CALCULADORA TIPS E-6'!$F$10="Contractual",ROUND('Tabla de Amortizacion'!D31,8),IF('CALCULADORA TIPS E-6'!$F$10="6% (Medio)",ROUND('Tabla de Amortizacion'!H31,8),IF('CALCULADORA TIPS E-6'!$F$10="10% (Medio Alto)",ROUND('Tabla de Amortizacion'!L31,8),IF('CALCULADORA TIPS E-6'!$F$10="14% (Alto)",ROUND('Tabla de Amortizacion'!P31,8),IF('CALCULADORA TIPS E-6'!$F$10=20%,ROUND('Tabla de Amortizacion'!T31,8),ROUND('Tabla de Amortizacion'!X31,8))))))</f>
        <v>0</v>
      </c>
    </row>
    <row r="31" spans="1:4" ht="12.75">
      <c r="A31" s="153">
        <f t="shared" si="0"/>
        <v>39254</v>
      </c>
      <c r="B31" s="154">
        <f>IF('CALCULADORA TIPS E-6'!$F$10="Contractual",ROUND('Tabla de Amortizacion'!B32,8),IF('CALCULADORA TIPS E-6'!$F$10="6% (Medio)",ROUND('Tabla de Amortizacion'!F32,8),IF('CALCULADORA TIPS E-6'!$F$10="10% (Medio Alto)",ROUND('Tabla de Amortizacion'!J32,8),IF('CALCULADORA TIPS E-6'!$F$10="14% (Alto)",ROUND('Tabla de Amortizacion'!N32,8),IF('CALCULADORA TIPS E-6'!$F$10=20%,ROUND('Tabla de Amortizacion'!R32,8),ROUND('Tabla de Amortizacion'!V32,8))))))</f>
        <v>0</v>
      </c>
      <c r="C31" s="154">
        <f>IF('CALCULADORA TIPS E-6'!$F$10="Contractual",ROUND('Tabla de Amortizacion'!C32,8),IF('CALCULADORA TIPS E-6'!$F$10="6% (Medio)",ROUND('Tabla de Amortizacion'!G32,8),IF('CALCULADORA TIPS E-6'!$F$10="10% (Medio Alto)",ROUND('Tabla de Amortizacion'!K32,8),IF('CALCULADORA TIPS E-6'!$F$10="14% (Alto)",ROUND('Tabla de Amortizacion'!O32,8),IF('CALCULADORA TIPS E-6'!$F$10=20%,ROUND('Tabla de Amortizacion'!S32,8),ROUND('Tabla de Amortizacion'!W32,8))))))</f>
        <v>0.02677731</v>
      </c>
      <c r="D31" s="154">
        <f>IF('CALCULADORA TIPS E-6'!$F$10="Contractual",ROUND('Tabla de Amortizacion'!D32,8),IF('CALCULADORA TIPS E-6'!$F$10="6% (Medio)",ROUND('Tabla de Amortizacion'!H32,8),IF('CALCULADORA TIPS E-6'!$F$10="10% (Medio Alto)",ROUND('Tabla de Amortizacion'!L32,8),IF('CALCULADORA TIPS E-6'!$F$10="14% (Alto)",ROUND('Tabla de Amortizacion'!P32,8),IF('CALCULADORA TIPS E-6'!$F$10=20%,ROUND('Tabla de Amortizacion'!T32,8),ROUND('Tabla de Amortizacion'!X32,8))))))</f>
        <v>0</v>
      </c>
    </row>
    <row r="32" spans="1:4" ht="12.75">
      <c r="A32" s="153">
        <f t="shared" si="0"/>
        <v>39284</v>
      </c>
      <c r="B32" s="154">
        <f>IF('CALCULADORA TIPS E-6'!$F$10="Contractual",ROUND('Tabla de Amortizacion'!B33,8),IF('CALCULADORA TIPS E-6'!$F$10="6% (Medio)",ROUND('Tabla de Amortizacion'!F33,8),IF('CALCULADORA TIPS E-6'!$F$10="10% (Medio Alto)",ROUND('Tabla de Amortizacion'!J33,8),IF('CALCULADORA TIPS E-6'!$F$10="14% (Alto)",ROUND('Tabla de Amortizacion'!N33,8),IF('CALCULADORA TIPS E-6'!$F$10=20%,ROUND('Tabla de Amortizacion'!R33,8),ROUND('Tabla de Amortizacion'!V33,8))))))</f>
        <v>0</v>
      </c>
      <c r="C32" s="154">
        <f>IF('CALCULADORA TIPS E-6'!$F$10="Contractual",ROUND('Tabla de Amortizacion'!C33,8),IF('CALCULADORA TIPS E-6'!$F$10="6% (Medio)",ROUND('Tabla de Amortizacion'!G33,8),IF('CALCULADORA TIPS E-6'!$F$10="10% (Medio Alto)",ROUND('Tabla de Amortizacion'!K33,8),IF('CALCULADORA TIPS E-6'!$F$10="14% (Alto)",ROUND('Tabla de Amortizacion'!O33,8),IF('CALCULADORA TIPS E-6'!$F$10=20%,ROUND('Tabla de Amortizacion'!S33,8),ROUND('Tabla de Amortizacion'!W33,8))))))</f>
        <v>0.02366445</v>
      </c>
      <c r="D32" s="154">
        <f>IF('CALCULADORA TIPS E-6'!$F$10="Contractual",ROUND('Tabla de Amortizacion'!D33,8),IF('CALCULADORA TIPS E-6'!$F$10="6% (Medio)",ROUND('Tabla de Amortizacion'!H33,8),IF('CALCULADORA TIPS E-6'!$F$10="10% (Medio Alto)",ROUND('Tabla de Amortizacion'!L33,8),IF('CALCULADORA TIPS E-6'!$F$10="14% (Alto)",ROUND('Tabla de Amortizacion'!P33,8),IF('CALCULADORA TIPS E-6'!$F$10=20%,ROUND('Tabla de Amortizacion'!T33,8),ROUND('Tabla de Amortizacion'!X33,8))))))</f>
        <v>0</v>
      </c>
    </row>
    <row r="33" spans="1:4" ht="12.75">
      <c r="A33" s="153">
        <f t="shared" si="0"/>
        <v>39315</v>
      </c>
      <c r="B33" s="154">
        <f>IF('CALCULADORA TIPS E-6'!$F$10="Contractual",ROUND('Tabla de Amortizacion'!B34,8),IF('CALCULADORA TIPS E-6'!$F$10="6% (Medio)",ROUND('Tabla de Amortizacion'!F34,8),IF('CALCULADORA TIPS E-6'!$F$10="10% (Medio Alto)",ROUND('Tabla de Amortizacion'!J34,8),IF('CALCULADORA TIPS E-6'!$F$10="14% (Alto)",ROUND('Tabla de Amortizacion'!N34,8),IF('CALCULADORA TIPS E-6'!$F$10=20%,ROUND('Tabla de Amortizacion'!R34,8),ROUND('Tabla de Amortizacion'!V34,8))))))</f>
        <v>0</v>
      </c>
      <c r="C33" s="154">
        <f>IF('CALCULADORA TIPS E-6'!$F$10="Contractual",ROUND('Tabla de Amortizacion'!C34,8),IF('CALCULADORA TIPS E-6'!$F$10="6% (Medio)",ROUND('Tabla de Amortizacion'!G34,8),IF('CALCULADORA TIPS E-6'!$F$10="10% (Medio Alto)",ROUND('Tabla de Amortizacion'!K34,8),IF('CALCULADORA TIPS E-6'!$F$10="14% (Alto)",ROUND('Tabla de Amortizacion'!O34,8),IF('CALCULADORA TIPS E-6'!$F$10=20%,ROUND('Tabla de Amortizacion'!S34,8),ROUND('Tabla de Amortizacion'!W34,8))))))</f>
        <v>0.02149095</v>
      </c>
      <c r="D33" s="154">
        <f>IF('CALCULADORA TIPS E-6'!$F$10="Contractual",ROUND('Tabla de Amortizacion'!D34,8),IF('CALCULADORA TIPS E-6'!$F$10="6% (Medio)",ROUND('Tabla de Amortizacion'!H34,8),IF('CALCULADORA TIPS E-6'!$F$10="10% (Medio Alto)",ROUND('Tabla de Amortizacion'!L34,8),IF('CALCULADORA TIPS E-6'!$F$10="14% (Alto)",ROUND('Tabla de Amortizacion'!P34,8),IF('CALCULADORA TIPS E-6'!$F$10=20%,ROUND('Tabla de Amortizacion'!T34,8),ROUND('Tabla de Amortizacion'!X34,8))))))</f>
        <v>0</v>
      </c>
    </row>
    <row r="34" spans="1:4" ht="12.75">
      <c r="A34" s="153">
        <f t="shared" si="0"/>
        <v>39346</v>
      </c>
      <c r="B34" s="154">
        <f>IF('CALCULADORA TIPS E-6'!$F$10="Contractual",ROUND('Tabla de Amortizacion'!B35,8),IF('CALCULADORA TIPS E-6'!$F$10="6% (Medio)",ROUND('Tabla de Amortizacion'!F35,8),IF('CALCULADORA TIPS E-6'!$F$10="10% (Medio Alto)",ROUND('Tabla de Amortizacion'!J35,8),IF('CALCULADORA TIPS E-6'!$F$10="14% (Alto)",ROUND('Tabla de Amortizacion'!N35,8),IF('CALCULADORA TIPS E-6'!$F$10=20%,ROUND('Tabla de Amortizacion'!R35,8),ROUND('Tabla de Amortizacion'!V35,8))))))</f>
        <v>0</v>
      </c>
      <c r="C34" s="154">
        <f>IF('CALCULADORA TIPS E-6'!$F$10="Contractual",ROUND('Tabla de Amortizacion'!C35,8),IF('CALCULADORA TIPS E-6'!$F$10="6% (Medio)",ROUND('Tabla de Amortizacion'!G35,8),IF('CALCULADORA TIPS E-6'!$F$10="10% (Medio Alto)",ROUND('Tabla de Amortizacion'!K35,8),IF('CALCULADORA TIPS E-6'!$F$10="14% (Alto)",ROUND('Tabla de Amortizacion'!O35,8),IF('CALCULADORA TIPS E-6'!$F$10=20%,ROUND('Tabla de Amortizacion'!S35,8),ROUND('Tabla de Amortizacion'!W35,8))))))</f>
        <v>0.02280784</v>
      </c>
      <c r="D34" s="154">
        <f>IF('CALCULADORA TIPS E-6'!$F$10="Contractual",ROUND('Tabla de Amortizacion'!D35,8),IF('CALCULADORA TIPS E-6'!$F$10="6% (Medio)",ROUND('Tabla de Amortizacion'!H35,8),IF('CALCULADORA TIPS E-6'!$F$10="10% (Medio Alto)",ROUND('Tabla de Amortizacion'!L35,8),IF('CALCULADORA TIPS E-6'!$F$10="14% (Alto)",ROUND('Tabla de Amortizacion'!P35,8),IF('CALCULADORA TIPS E-6'!$F$10=20%,ROUND('Tabla de Amortizacion'!T35,8),ROUND('Tabla de Amortizacion'!X35,8))))))</f>
        <v>0</v>
      </c>
    </row>
    <row r="35" spans="1:4" ht="12.75">
      <c r="A35" s="153">
        <f aca="true" t="shared" si="1" ref="A35:A66">_XLL.FECHA.MES(A34,1)</f>
        <v>39376</v>
      </c>
      <c r="B35" s="154">
        <f>IF('CALCULADORA TIPS E-6'!$F$10="Contractual",ROUND('Tabla de Amortizacion'!B36,8),IF('CALCULADORA TIPS E-6'!$F$10="6% (Medio)",ROUND('Tabla de Amortizacion'!F36,8),IF('CALCULADORA TIPS E-6'!$F$10="10% (Medio Alto)",ROUND('Tabla de Amortizacion'!J36,8),IF('CALCULADORA TIPS E-6'!$F$10="14% (Alto)",ROUND('Tabla de Amortizacion'!N36,8),IF('CALCULADORA TIPS E-6'!$F$10=20%,ROUND('Tabla de Amortizacion'!R36,8),ROUND('Tabla de Amortizacion'!V36,8))))))</f>
        <v>0</v>
      </c>
      <c r="C35" s="154">
        <f>IF('CALCULADORA TIPS E-6'!$F$10="Contractual",ROUND('Tabla de Amortizacion'!C36,8),IF('CALCULADORA TIPS E-6'!$F$10="6% (Medio)",ROUND('Tabla de Amortizacion'!G36,8),IF('CALCULADORA TIPS E-6'!$F$10="10% (Medio Alto)",ROUND('Tabla de Amortizacion'!K36,8),IF('CALCULADORA TIPS E-6'!$F$10="14% (Alto)",ROUND('Tabla de Amortizacion'!O36,8),IF('CALCULADORA TIPS E-6'!$F$10=20%,ROUND('Tabla de Amortizacion'!S36,8),ROUND('Tabla de Amortizacion'!W36,8))))))</f>
        <v>0.01979971</v>
      </c>
      <c r="D35" s="154">
        <f>IF('CALCULADORA TIPS E-6'!$F$10="Contractual",ROUND('Tabla de Amortizacion'!D36,8),IF('CALCULADORA TIPS E-6'!$F$10="6% (Medio)",ROUND('Tabla de Amortizacion'!H36,8),IF('CALCULADORA TIPS E-6'!$F$10="10% (Medio Alto)",ROUND('Tabla de Amortizacion'!L36,8),IF('CALCULADORA TIPS E-6'!$F$10="14% (Alto)",ROUND('Tabla de Amortizacion'!P36,8),IF('CALCULADORA TIPS E-6'!$F$10=20%,ROUND('Tabla de Amortizacion'!T36,8),ROUND('Tabla de Amortizacion'!X36,8))))))</f>
        <v>0</v>
      </c>
    </row>
    <row r="36" spans="1:4" ht="12.75">
      <c r="A36" s="153">
        <f t="shared" si="1"/>
        <v>39407</v>
      </c>
      <c r="B36" s="154">
        <f>IF('CALCULADORA TIPS E-6'!$F$10="Contractual",ROUND('Tabla de Amortizacion'!B37,8),IF('CALCULADORA TIPS E-6'!$F$10="6% (Medio)",ROUND('Tabla de Amortizacion'!F37,8),IF('CALCULADORA TIPS E-6'!$F$10="10% (Medio Alto)",ROUND('Tabla de Amortizacion'!J37,8),IF('CALCULADORA TIPS E-6'!$F$10="14% (Alto)",ROUND('Tabla de Amortizacion'!N37,8),IF('CALCULADORA TIPS E-6'!$F$10=20%,ROUND('Tabla de Amortizacion'!R37,8),ROUND('Tabla de Amortizacion'!V37,8))))))</f>
        <v>0</v>
      </c>
      <c r="C36" s="154">
        <f>IF('CALCULADORA TIPS E-6'!$F$10="Contractual",ROUND('Tabla de Amortizacion'!C37,8),IF('CALCULADORA TIPS E-6'!$F$10="6% (Medio)",ROUND('Tabla de Amortizacion'!G37,8),IF('CALCULADORA TIPS E-6'!$F$10="10% (Medio Alto)",ROUND('Tabla de Amortizacion'!K37,8),IF('CALCULADORA TIPS E-6'!$F$10="14% (Alto)",ROUND('Tabla de Amortizacion'!O37,8),IF('CALCULADORA TIPS E-6'!$F$10=20%,ROUND('Tabla de Amortizacion'!S37,8),ROUND('Tabla de Amortizacion'!W37,8))))))</f>
        <v>0.01690415</v>
      </c>
      <c r="D36" s="154">
        <f>IF('CALCULADORA TIPS E-6'!$F$10="Contractual",ROUND('Tabla de Amortizacion'!D37,8),IF('CALCULADORA TIPS E-6'!$F$10="6% (Medio)",ROUND('Tabla de Amortizacion'!H37,8),IF('CALCULADORA TIPS E-6'!$F$10="10% (Medio Alto)",ROUND('Tabla de Amortizacion'!L37,8),IF('CALCULADORA TIPS E-6'!$F$10="14% (Alto)",ROUND('Tabla de Amortizacion'!P37,8),IF('CALCULADORA TIPS E-6'!$F$10=20%,ROUND('Tabla de Amortizacion'!T37,8),ROUND('Tabla de Amortizacion'!X37,8))))))</f>
        <v>0</v>
      </c>
    </row>
    <row r="37" spans="1:4" ht="12.75">
      <c r="A37" s="153">
        <f t="shared" si="1"/>
        <v>39437</v>
      </c>
      <c r="B37" s="154">
        <f>IF('CALCULADORA TIPS E-6'!$F$10="Contractual",ROUND('Tabla de Amortizacion'!B38,8),IF('CALCULADORA TIPS E-6'!$F$10="6% (Medio)",ROUND('Tabla de Amortizacion'!F38,8),IF('CALCULADORA TIPS E-6'!$F$10="10% (Medio Alto)",ROUND('Tabla de Amortizacion'!J38,8),IF('CALCULADORA TIPS E-6'!$F$10="14% (Alto)",ROUND('Tabla de Amortizacion'!N38,8),IF('CALCULADORA TIPS E-6'!$F$10=20%,ROUND('Tabla de Amortizacion'!R38,8),ROUND('Tabla de Amortizacion'!V38,8))))))</f>
        <v>0</v>
      </c>
      <c r="C37" s="154">
        <f>IF('CALCULADORA TIPS E-6'!$F$10="Contractual",ROUND('Tabla de Amortizacion'!C38,8),IF('CALCULADORA TIPS E-6'!$F$10="6% (Medio)",ROUND('Tabla de Amortizacion'!G38,8),IF('CALCULADORA TIPS E-6'!$F$10="10% (Medio Alto)",ROUND('Tabla de Amortizacion'!K38,8),IF('CALCULADORA TIPS E-6'!$F$10="14% (Alto)",ROUND('Tabla de Amortizacion'!O38,8),IF('CALCULADORA TIPS E-6'!$F$10=20%,ROUND('Tabla de Amortizacion'!S38,8),ROUND('Tabla de Amortizacion'!W38,8))))))</f>
        <v>0.02284973</v>
      </c>
      <c r="D37" s="154">
        <f>IF('CALCULADORA TIPS E-6'!$F$10="Contractual",ROUND('Tabla de Amortizacion'!D38,8),IF('CALCULADORA TIPS E-6'!$F$10="6% (Medio)",ROUND('Tabla de Amortizacion'!H38,8),IF('CALCULADORA TIPS E-6'!$F$10="10% (Medio Alto)",ROUND('Tabla de Amortizacion'!L38,8),IF('CALCULADORA TIPS E-6'!$F$10="14% (Alto)",ROUND('Tabla de Amortizacion'!P38,8),IF('CALCULADORA TIPS E-6'!$F$10=20%,ROUND('Tabla de Amortizacion'!T38,8),ROUND('Tabla de Amortizacion'!X38,8))))))</f>
        <v>0</v>
      </c>
    </row>
    <row r="38" spans="1:4" ht="12.75">
      <c r="A38" s="153">
        <f t="shared" si="1"/>
        <v>39468</v>
      </c>
      <c r="B38" s="154">
        <f>IF('CALCULADORA TIPS E-6'!$F$10="Contractual",ROUND('Tabla de Amortizacion'!B39,8),IF('CALCULADORA TIPS E-6'!$F$10="6% (Medio)",ROUND('Tabla de Amortizacion'!F39,8),IF('CALCULADORA TIPS E-6'!$F$10="10% (Medio Alto)",ROUND('Tabla de Amortizacion'!J39,8),IF('CALCULADORA TIPS E-6'!$F$10="14% (Alto)",ROUND('Tabla de Amortizacion'!N39,8),IF('CALCULADORA TIPS E-6'!$F$10=20%,ROUND('Tabla de Amortizacion'!R39,8),ROUND('Tabla de Amortizacion'!V39,8))))))</f>
        <v>0</v>
      </c>
      <c r="C38" s="154">
        <f>IF('CALCULADORA TIPS E-6'!$F$10="Contractual",ROUND('Tabla de Amortizacion'!C39,8),IF('CALCULADORA TIPS E-6'!$F$10="6% (Medio)",ROUND('Tabla de Amortizacion'!G39,8),IF('CALCULADORA TIPS E-6'!$F$10="10% (Medio Alto)",ROUND('Tabla de Amortizacion'!K39,8),IF('CALCULADORA TIPS E-6'!$F$10="14% (Alto)",ROUND('Tabla de Amortizacion'!O39,8),IF('CALCULADORA TIPS E-6'!$F$10=20%,ROUND('Tabla de Amortizacion'!S39,8),ROUND('Tabla de Amortizacion'!W39,8))))))</f>
        <v>0.01601297</v>
      </c>
      <c r="D38" s="154">
        <f>IF('CALCULADORA TIPS E-6'!$F$10="Contractual",ROUND('Tabla de Amortizacion'!D39,8),IF('CALCULADORA TIPS E-6'!$F$10="6% (Medio)",ROUND('Tabla de Amortizacion'!H39,8),IF('CALCULADORA TIPS E-6'!$F$10="10% (Medio Alto)",ROUND('Tabla de Amortizacion'!L39,8),IF('CALCULADORA TIPS E-6'!$F$10="14% (Alto)",ROUND('Tabla de Amortizacion'!P39,8),IF('CALCULADORA TIPS E-6'!$F$10=20%,ROUND('Tabla de Amortizacion'!T39,8),ROUND('Tabla de Amortizacion'!X39,8))))))</f>
        <v>0</v>
      </c>
    </row>
    <row r="39" spans="1:4" ht="12.75">
      <c r="A39" s="153">
        <f t="shared" si="1"/>
        <v>39499</v>
      </c>
      <c r="B39" s="154">
        <f>IF('CALCULADORA TIPS E-6'!$F$10="Contractual",ROUND('Tabla de Amortizacion'!B40,8),IF('CALCULADORA TIPS E-6'!$F$10="6% (Medio)",ROUND('Tabla de Amortizacion'!F40,8),IF('CALCULADORA TIPS E-6'!$F$10="10% (Medio Alto)",ROUND('Tabla de Amortizacion'!J40,8),IF('CALCULADORA TIPS E-6'!$F$10="14% (Alto)",ROUND('Tabla de Amortizacion'!N40,8),IF('CALCULADORA TIPS E-6'!$F$10=20%,ROUND('Tabla de Amortizacion'!R40,8),ROUND('Tabla de Amortizacion'!V40,8))))))</f>
        <v>0</v>
      </c>
      <c r="C39" s="154">
        <f>IF('CALCULADORA TIPS E-6'!$F$10="Contractual",ROUND('Tabla de Amortizacion'!C40,8),IF('CALCULADORA TIPS E-6'!$F$10="6% (Medio)",ROUND('Tabla de Amortizacion'!G40,8),IF('CALCULADORA TIPS E-6'!$F$10="10% (Medio Alto)",ROUND('Tabla de Amortizacion'!K40,8),IF('CALCULADORA TIPS E-6'!$F$10="14% (Alto)",ROUND('Tabla de Amortizacion'!O40,8),IF('CALCULADORA TIPS E-6'!$F$10=20%,ROUND('Tabla de Amortizacion'!S40,8),ROUND('Tabla de Amortizacion'!W40,8))))))</f>
        <v>0.02216636</v>
      </c>
      <c r="D39" s="154">
        <f>IF('CALCULADORA TIPS E-6'!$F$10="Contractual",ROUND('Tabla de Amortizacion'!D40,8),IF('CALCULADORA TIPS E-6'!$F$10="6% (Medio)",ROUND('Tabla de Amortizacion'!H40,8),IF('CALCULADORA TIPS E-6'!$F$10="10% (Medio Alto)",ROUND('Tabla de Amortizacion'!L40,8),IF('CALCULADORA TIPS E-6'!$F$10="14% (Alto)",ROUND('Tabla de Amortizacion'!P40,8),IF('CALCULADORA TIPS E-6'!$F$10=20%,ROUND('Tabla de Amortizacion'!T40,8),ROUND('Tabla de Amortizacion'!X40,8))))))</f>
        <v>0</v>
      </c>
    </row>
    <row r="40" spans="1:4" ht="12.75">
      <c r="A40" s="153">
        <f t="shared" si="1"/>
        <v>39528</v>
      </c>
      <c r="B40" s="154">
        <f>IF('CALCULADORA TIPS E-6'!$F$10="Contractual",ROUND('Tabla de Amortizacion'!B41,8),IF('CALCULADORA TIPS E-6'!$F$10="6% (Medio)",ROUND('Tabla de Amortizacion'!F41,8),IF('CALCULADORA TIPS E-6'!$F$10="10% (Medio Alto)",ROUND('Tabla de Amortizacion'!J41,8),IF('CALCULADORA TIPS E-6'!$F$10="14% (Alto)",ROUND('Tabla de Amortizacion'!N41,8),IF('CALCULADORA TIPS E-6'!$F$10=20%,ROUND('Tabla de Amortizacion'!R41,8),ROUND('Tabla de Amortizacion'!V41,8))))))</f>
        <v>0</v>
      </c>
      <c r="C40" s="154">
        <f>IF('CALCULADORA TIPS E-6'!$F$10="Contractual",ROUND('Tabla de Amortizacion'!C41,8),IF('CALCULADORA TIPS E-6'!$F$10="6% (Medio)",ROUND('Tabla de Amortizacion'!G41,8),IF('CALCULADORA TIPS E-6'!$F$10="10% (Medio Alto)",ROUND('Tabla de Amortizacion'!K41,8),IF('CALCULADORA TIPS E-6'!$F$10="14% (Alto)",ROUND('Tabla de Amortizacion'!O41,8),IF('CALCULADORA TIPS E-6'!$F$10=20%,ROUND('Tabla de Amortizacion'!S41,8),ROUND('Tabla de Amortizacion'!W41,8))))))</f>
        <v>0.01727974</v>
      </c>
      <c r="D40" s="154">
        <f>IF('CALCULADORA TIPS E-6'!$F$10="Contractual",ROUND('Tabla de Amortizacion'!D41,8),IF('CALCULADORA TIPS E-6'!$F$10="6% (Medio)",ROUND('Tabla de Amortizacion'!H41,8),IF('CALCULADORA TIPS E-6'!$F$10="10% (Medio Alto)",ROUND('Tabla de Amortizacion'!L41,8),IF('CALCULADORA TIPS E-6'!$F$10="14% (Alto)",ROUND('Tabla de Amortizacion'!P41,8),IF('CALCULADORA TIPS E-6'!$F$10=20%,ROUND('Tabla de Amortizacion'!T41,8),ROUND('Tabla de Amortizacion'!X41,8))))))</f>
        <v>0</v>
      </c>
    </row>
    <row r="41" spans="1:4" ht="12.75">
      <c r="A41" s="153">
        <f t="shared" si="1"/>
        <v>39559</v>
      </c>
      <c r="B41" s="154">
        <f>IF('CALCULADORA TIPS E-6'!$F$10="Contractual",ROUND('Tabla de Amortizacion'!B42,8),IF('CALCULADORA TIPS E-6'!$F$10="6% (Medio)",ROUND('Tabla de Amortizacion'!F42,8),IF('CALCULADORA TIPS E-6'!$F$10="10% (Medio Alto)",ROUND('Tabla de Amortizacion'!J42,8),IF('CALCULADORA TIPS E-6'!$F$10="14% (Alto)",ROUND('Tabla de Amortizacion'!N42,8),IF('CALCULADORA TIPS E-6'!$F$10=20%,ROUND('Tabla de Amortizacion'!R42,8),ROUND('Tabla de Amortizacion'!V42,8))))))</f>
        <v>0</v>
      </c>
      <c r="C41" s="154">
        <f>IF('CALCULADORA TIPS E-6'!$F$10="Contractual",ROUND('Tabla de Amortizacion'!C42,8),IF('CALCULADORA TIPS E-6'!$F$10="6% (Medio)",ROUND('Tabla de Amortizacion'!G42,8),IF('CALCULADORA TIPS E-6'!$F$10="10% (Medio Alto)",ROUND('Tabla de Amortizacion'!K42,8),IF('CALCULADORA TIPS E-6'!$F$10="14% (Alto)",ROUND('Tabla de Amortizacion'!O42,8),IF('CALCULADORA TIPS E-6'!$F$10=20%,ROUND('Tabla de Amortizacion'!S42,8),ROUND('Tabla de Amortizacion'!W42,8))))))</f>
        <v>0.01644117</v>
      </c>
      <c r="D41" s="154">
        <f>IF('CALCULADORA TIPS E-6'!$F$10="Contractual",ROUND('Tabla de Amortizacion'!D42,8),IF('CALCULADORA TIPS E-6'!$F$10="6% (Medio)",ROUND('Tabla de Amortizacion'!H42,8),IF('CALCULADORA TIPS E-6'!$F$10="10% (Medio Alto)",ROUND('Tabla de Amortizacion'!L42,8),IF('CALCULADORA TIPS E-6'!$F$10="14% (Alto)",ROUND('Tabla de Amortizacion'!P42,8),IF('CALCULADORA TIPS E-6'!$F$10=20%,ROUND('Tabla de Amortizacion'!T42,8),ROUND('Tabla de Amortizacion'!X42,8))))))</f>
        <v>0</v>
      </c>
    </row>
    <row r="42" spans="1:4" ht="12.75">
      <c r="A42" s="153">
        <f t="shared" si="1"/>
        <v>39589</v>
      </c>
      <c r="B42" s="154">
        <f>IF('CALCULADORA TIPS E-6'!$F$10="Contractual",ROUND('Tabla de Amortizacion'!B43,8),IF('CALCULADORA TIPS E-6'!$F$10="6% (Medio)",ROUND('Tabla de Amortizacion'!F43,8),IF('CALCULADORA TIPS E-6'!$F$10="10% (Medio Alto)",ROUND('Tabla de Amortizacion'!J43,8),IF('CALCULADORA TIPS E-6'!$F$10="14% (Alto)",ROUND('Tabla de Amortizacion'!N43,8),IF('CALCULADORA TIPS E-6'!$F$10=20%,ROUND('Tabla de Amortizacion'!R43,8),ROUND('Tabla de Amortizacion'!V43,8))))))</f>
        <v>0</v>
      </c>
      <c r="C42" s="154">
        <f>IF('CALCULADORA TIPS E-6'!$F$10="Contractual",ROUND('Tabla de Amortizacion'!C43,8),IF('CALCULADORA TIPS E-6'!$F$10="6% (Medio)",ROUND('Tabla de Amortizacion'!G43,8),IF('CALCULADORA TIPS E-6'!$F$10="10% (Medio Alto)",ROUND('Tabla de Amortizacion'!K43,8),IF('CALCULADORA TIPS E-6'!$F$10="14% (Alto)",ROUND('Tabla de Amortizacion'!O43,8),IF('CALCULADORA TIPS E-6'!$F$10=20%,ROUND('Tabla de Amortizacion'!S43,8),ROUND('Tabla de Amortizacion'!W43,8))))))</f>
        <v>0.01672738</v>
      </c>
      <c r="D42" s="154">
        <f>IF('CALCULADORA TIPS E-6'!$F$10="Contractual",ROUND('Tabla de Amortizacion'!D43,8),IF('CALCULADORA TIPS E-6'!$F$10="6% (Medio)",ROUND('Tabla de Amortizacion'!H43,8),IF('CALCULADORA TIPS E-6'!$F$10="10% (Medio Alto)",ROUND('Tabla de Amortizacion'!L43,8),IF('CALCULADORA TIPS E-6'!$F$10="14% (Alto)",ROUND('Tabla de Amortizacion'!P43,8),IF('CALCULADORA TIPS E-6'!$F$10=20%,ROUND('Tabla de Amortizacion'!T43,8),ROUND('Tabla de Amortizacion'!X43,8))))))</f>
        <v>0</v>
      </c>
    </row>
    <row r="43" spans="1:4" ht="12.75">
      <c r="A43" s="153">
        <f t="shared" si="1"/>
        <v>39620</v>
      </c>
      <c r="B43" s="154">
        <f>IF('CALCULADORA TIPS E-6'!$F$10="Contractual",ROUND('Tabla de Amortizacion'!B44,8),IF('CALCULADORA TIPS E-6'!$F$10="6% (Medio)",ROUND('Tabla de Amortizacion'!F44,8),IF('CALCULADORA TIPS E-6'!$F$10="10% (Medio Alto)",ROUND('Tabla de Amortizacion'!J44,8),IF('CALCULADORA TIPS E-6'!$F$10="14% (Alto)",ROUND('Tabla de Amortizacion'!N44,8),IF('CALCULADORA TIPS E-6'!$F$10=20%,ROUND('Tabla de Amortizacion'!R44,8),ROUND('Tabla de Amortizacion'!V44,8))))))</f>
        <v>0</v>
      </c>
      <c r="C43" s="154">
        <f>IF('CALCULADORA TIPS E-6'!$F$10="Contractual",ROUND('Tabla de Amortizacion'!C44,8),IF('CALCULADORA TIPS E-6'!$F$10="6% (Medio)",ROUND('Tabla de Amortizacion'!G44,8),IF('CALCULADORA TIPS E-6'!$F$10="10% (Medio Alto)",ROUND('Tabla de Amortizacion'!K44,8),IF('CALCULADORA TIPS E-6'!$F$10="14% (Alto)",ROUND('Tabla de Amortizacion'!O44,8),IF('CALCULADORA TIPS E-6'!$F$10=20%,ROUND('Tabla de Amortizacion'!S44,8),ROUND('Tabla de Amortizacion'!W44,8))))))</f>
        <v>0.01811314</v>
      </c>
      <c r="D43" s="154">
        <f>IF('CALCULADORA TIPS E-6'!$F$10="Contractual",ROUND('Tabla de Amortizacion'!D44,8),IF('CALCULADORA TIPS E-6'!$F$10="6% (Medio)",ROUND('Tabla de Amortizacion'!H44,8),IF('CALCULADORA TIPS E-6'!$F$10="10% (Medio Alto)",ROUND('Tabla de Amortizacion'!L44,8),IF('CALCULADORA TIPS E-6'!$F$10="14% (Alto)",ROUND('Tabla de Amortizacion'!P44,8),IF('CALCULADORA TIPS E-6'!$F$10=20%,ROUND('Tabla de Amortizacion'!T44,8),ROUND('Tabla de Amortizacion'!X44,8))))))</f>
        <v>0</v>
      </c>
    </row>
    <row r="44" spans="1:4" ht="12.75">
      <c r="A44" s="153">
        <f t="shared" si="1"/>
        <v>39650</v>
      </c>
      <c r="B44" s="154">
        <f>IF('CALCULADORA TIPS E-6'!$F$10="Contractual",ROUND('Tabla de Amortizacion'!B45,8),IF('CALCULADORA TIPS E-6'!$F$10="6% (Medio)",ROUND('Tabla de Amortizacion'!F45,8),IF('CALCULADORA TIPS E-6'!$F$10="10% (Medio Alto)",ROUND('Tabla de Amortizacion'!J45,8),IF('CALCULADORA TIPS E-6'!$F$10="14% (Alto)",ROUND('Tabla de Amortizacion'!N45,8),IF('CALCULADORA TIPS E-6'!$F$10=20%,ROUND('Tabla de Amortizacion'!R45,8),ROUND('Tabla de Amortizacion'!V45,8))))))</f>
        <v>0</v>
      </c>
      <c r="C44" s="154">
        <f>IF('CALCULADORA TIPS E-6'!$F$10="Contractual",ROUND('Tabla de Amortizacion'!C45,8),IF('CALCULADORA TIPS E-6'!$F$10="6% (Medio)",ROUND('Tabla de Amortizacion'!G45,8),IF('CALCULADORA TIPS E-6'!$F$10="10% (Medio Alto)",ROUND('Tabla de Amortizacion'!K45,8),IF('CALCULADORA TIPS E-6'!$F$10="14% (Alto)",ROUND('Tabla de Amortizacion'!O45,8),IF('CALCULADORA TIPS E-6'!$F$10=20%,ROUND('Tabla de Amortizacion'!S45,8),ROUND('Tabla de Amortizacion'!W45,8))))))</f>
        <v>0.0165739</v>
      </c>
      <c r="D44" s="154">
        <f>IF('CALCULADORA TIPS E-6'!$F$10="Contractual",ROUND('Tabla de Amortizacion'!D45,8),IF('CALCULADORA TIPS E-6'!$F$10="6% (Medio)",ROUND('Tabla de Amortizacion'!H45,8),IF('CALCULADORA TIPS E-6'!$F$10="10% (Medio Alto)",ROUND('Tabla de Amortizacion'!L45,8),IF('CALCULADORA TIPS E-6'!$F$10="14% (Alto)",ROUND('Tabla de Amortizacion'!P45,8),IF('CALCULADORA TIPS E-6'!$F$10=20%,ROUND('Tabla de Amortizacion'!T45,8),ROUND('Tabla de Amortizacion'!X45,8))))))</f>
        <v>0</v>
      </c>
    </row>
    <row r="45" spans="1:4" ht="12.75">
      <c r="A45" s="153">
        <f t="shared" si="1"/>
        <v>39681</v>
      </c>
      <c r="B45" s="154">
        <f>IF('CALCULADORA TIPS E-6'!$F$10="Contractual",ROUND('Tabla de Amortizacion'!B46,8),IF('CALCULADORA TIPS E-6'!$F$10="6% (Medio)",ROUND('Tabla de Amortizacion'!F46,8),IF('CALCULADORA TIPS E-6'!$F$10="10% (Medio Alto)",ROUND('Tabla de Amortizacion'!J46,8),IF('CALCULADORA TIPS E-6'!$F$10="14% (Alto)",ROUND('Tabla de Amortizacion'!N46,8),IF('CALCULADORA TIPS E-6'!$F$10=20%,ROUND('Tabla de Amortizacion'!R46,8),ROUND('Tabla de Amortizacion'!V46,8))))))</f>
        <v>0</v>
      </c>
      <c r="C45" s="154">
        <f>IF('CALCULADORA TIPS E-6'!$F$10="Contractual",ROUND('Tabla de Amortizacion'!C46,8),IF('CALCULADORA TIPS E-6'!$F$10="6% (Medio)",ROUND('Tabla de Amortizacion'!G46,8),IF('CALCULADORA TIPS E-6'!$F$10="10% (Medio Alto)",ROUND('Tabla de Amortizacion'!K46,8),IF('CALCULADORA TIPS E-6'!$F$10="14% (Alto)",ROUND('Tabla de Amortizacion'!O46,8),IF('CALCULADORA TIPS E-6'!$F$10=20%,ROUND('Tabla de Amortizacion'!S46,8),ROUND('Tabla de Amortizacion'!W46,8))))))</f>
        <v>0.01698029</v>
      </c>
      <c r="D45" s="154">
        <f>IF('CALCULADORA TIPS E-6'!$F$10="Contractual",ROUND('Tabla de Amortizacion'!D46,8),IF('CALCULADORA TIPS E-6'!$F$10="6% (Medio)",ROUND('Tabla de Amortizacion'!H46,8),IF('CALCULADORA TIPS E-6'!$F$10="10% (Medio Alto)",ROUND('Tabla de Amortizacion'!L46,8),IF('CALCULADORA TIPS E-6'!$F$10="14% (Alto)",ROUND('Tabla de Amortizacion'!P46,8),IF('CALCULADORA TIPS E-6'!$F$10=20%,ROUND('Tabla de Amortizacion'!T46,8),ROUND('Tabla de Amortizacion'!X46,8))))))</f>
        <v>0</v>
      </c>
    </row>
    <row r="46" spans="1:4" ht="12.75">
      <c r="A46" s="153">
        <f t="shared" si="1"/>
        <v>39712</v>
      </c>
      <c r="B46" s="154">
        <f>IF('CALCULADORA TIPS E-6'!$F$10="Contractual",ROUND('Tabla de Amortizacion'!B47,8),IF('CALCULADORA TIPS E-6'!$F$10="6% (Medio)",ROUND('Tabla de Amortizacion'!F47,8),IF('CALCULADORA TIPS E-6'!$F$10="10% (Medio Alto)",ROUND('Tabla de Amortizacion'!J47,8),IF('CALCULADORA TIPS E-6'!$F$10="14% (Alto)",ROUND('Tabla de Amortizacion'!N47,8),IF('CALCULADORA TIPS E-6'!$F$10=20%,ROUND('Tabla de Amortizacion'!R47,8),ROUND('Tabla de Amortizacion'!V47,8))))))</f>
        <v>0</v>
      </c>
      <c r="C46" s="154">
        <f>IF('CALCULADORA TIPS E-6'!$F$10="Contractual",ROUND('Tabla de Amortizacion'!C47,8),IF('CALCULADORA TIPS E-6'!$F$10="6% (Medio)",ROUND('Tabla de Amortizacion'!G47,8),IF('CALCULADORA TIPS E-6'!$F$10="10% (Medio Alto)",ROUND('Tabla de Amortizacion'!K47,8),IF('CALCULADORA TIPS E-6'!$F$10="14% (Alto)",ROUND('Tabla de Amortizacion'!O47,8),IF('CALCULADORA TIPS E-6'!$F$10=20%,ROUND('Tabla de Amortizacion'!S47,8),ROUND('Tabla de Amortizacion'!W47,8))))))</f>
        <v>0.01662865</v>
      </c>
      <c r="D46" s="154">
        <f>IF('CALCULADORA TIPS E-6'!$F$10="Contractual",ROUND('Tabla de Amortizacion'!D47,8),IF('CALCULADORA TIPS E-6'!$F$10="6% (Medio)",ROUND('Tabla de Amortizacion'!H47,8),IF('CALCULADORA TIPS E-6'!$F$10="10% (Medio Alto)",ROUND('Tabla de Amortizacion'!L47,8),IF('CALCULADORA TIPS E-6'!$F$10="14% (Alto)",ROUND('Tabla de Amortizacion'!P47,8),IF('CALCULADORA TIPS E-6'!$F$10=20%,ROUND('Tabla de Amortizacion'!T47,8),ROUND('Tabla de Amortizacion'!X47,8))))))</f>
        <v>0</v>
      </c>
    </row>
    <row r="47" spans="1:4" ht="12.75">
      <c r="A47" s="153">
        <f t="shared" si="1"/>
        <v>39742</v>
      </c>
      <c r="B47" s="154">
        <f>IF('CALCULADORA TIPS E-6'!$F$10="Contractual",ROUND('Tabla de Amortizacion'!B48,8),IF('CALCULADORA TIPS E-6'!$F$10="6% (Medio)",ROUND('Tabla de Amortizacion'!F48,8),IF('CALCULADORA TIPS E-6'!$F$10="10% (Medio Alto)",ROUND('Tabla de Amortizacion'!J48,8),IF('CALCULADORA TIPS E-6'!$F$10="14% (Alto)",ROUND('Tabla de Amortizacion'!N48,8),IF('CALCULADORA TIPS E-6'!$F$10=20%,ROUND('Tabla de Amortizacion'!R48,8),ROUND('Tabla de Amortizacion'!V48,8))))))</f>
        <v>0</v>
      </c>
      <c r="C47" s="154">
        <f>IF('CALCULADORA TIPS E-6'!$F$10="Contractual",ROUND('Tabla de Amortizacion'!C48,8),IF('CALCULADORA TIPS E-6'!$F$10="6% (Medio)",ROUND('Tabla de Amortizacion'!G48,8),IF('CALCULADORA TIPS E-6'!$F$10="10% (Medio Alto)",ROUND('Tabla de Amortizacion'!K48,8),IF('CALCULADORA TIPS E-6'!$F$10="14% (Alto)",ROUND('Tabla de Amortizacion'!O48,8),IF('CALCULADORA TIPS E-6'!$F$10=20%,ROUND('Tabla de Amortizacion'!S48,8),ROUND('Tabla de Amortizacion'!W48,8))))))</f>
        <v>0.01502836</v>
      </c>
      <c r="D47" s="154">
        <f>IF('CALCULADORA TIPS E-6'!$F$10="Contractual",ROUND('Tabla de Amortizacion'!D48,8),IF('CALCULADORA TIPS E-6'!$F$10="6% (Medio)",ROUND('Tabla de Amortizacion'!H48,8),IF('CALCULADORA TIPS E-6'!$F$10="10% (Medio Alto)",ROUND('Tabla de Amortizacion'!L48,8),IF('CALCULADORA TIPS E-6'!$F$10="14% (Alto)",ROUND('Tabla de Amortizacion'!P48,8),IF('CALCULADORA TIPS E-6'!$F$10=20%,ROUND('Tabla de Amortizacion'!T48,8),ROUND('Tabla de Amortizacion'!X48,8))))))</f>
        <v>0</v>
      </c>
    </row>
    <row r="48" spans="1:4" ht="12.75">
      <c r="A48" s="153">
        <f t="shared" si="1"/>
        <v>39773</v>
      </c>
      <c r="B48" s="154">
        <f>IF('CALCULADORA TIPS E-6'!$F$10="Contractual",ROUND('Tabla de Amortizacion'!B49,8),IF('CALCULADORA TIPS E-6'!$F$10="6% (Medio)",ROUND('Tabla de Amortizacion'!F49,8),IF('CALCULADORA TIPS E-6'!$F$10="10% (Medio Alto)",ROUND('Tabla de Amortizacion'!J49,8),IF('CALCULADORA TIPS E-6'!$F$10="14% (Alto)",ROUND('Tabla de Amortizacion'!N49,8),IF('CALCULADORA TIPS E-6'!$F$10=20%,ROUND('Tabla de Amortizacion'!R49,8),ROUND('Tabla de Amortizacion'!V49,8))))))</f>
        <v>0</v>
      </c>
      <c r="C48" s="154">
        <f>IF('CALCULADORA TIPS E-6'!$F$10="Contractual",ROUND('Tabla de Amortizacion'!C49,8),IF('CALCULADORA TIPS E-6'!$F$10="6% (Medio)",ROUND('Tabla de Amortizacion'!G49,8),IF('CALCULADORA TIPS E-6'!$F$10="10% (Medio Alto)",ROUND('Tabla de Amortizacion'!K49,8),IF('CALCULADORA TIPS E-6'!$F$10="14% (Alto)",ROUND('Tabla de Amortizacion'!O49,8),IF('CALCULADORA TIPS E-6'!$F$10=20%,ROUND('Tabla de Amortizacion'!S49,8),ROUND('Tabla de Amortizacion'!W49,8))))))</f>
        <v>0.01606962</v>
      </c>
      <c r="D48" s="154">
        <f>IF('CALCULADORA TIPS E-6'!$F$10="Contractual",ROUND('Tabla de Amortizacion'!D49,8),IF('CALCULADORA TIPS E-6'!$F$10="6% (Medio)",ROUND('Tabla de Amortizacion'!H49,8),IF('CALCULADORA TIPS E-6'!$F$10="10% (Medio Alto)",ROUND('Tabla de Amortizacion'!L49,8),IF('CALCULADORA TIPS E-6'!$F$10="14% (Alto)",ROUND('Tabla de Amortizacion'!P49,8),IF('CALCULADORA TIPS E-6'!$F$10=20%,ROUND('Tabla de Amortizacion'!T49,8),ROUND('Tabla de Amortizacion'!X49,8))))))</f>
        <v>0</v>
      </c>
    </row>
    <row r="49" spans="1:4" ht="12.75">
      <c r="A49" s="153">
        <f t="shared" si="1"/>
        <v>39803</v>
      </c>
      <c r="B49" s="154">
        <f>IF('CALCULADORA TIPS E-6'!$F$10="Contractual",ROUND('Tabla de Amortizacion'!B50,8),IF('CALCULADORA TIPS E-6'!$F$10="6% (Medio)",ROUND('Tabla de Amortizacion'!F50,8),IF('CALCULADORA TIPS E-6'!$F$10="10% (Medio Alto)",ROUND('Tabla de Amortizacion'!J50,8),IF('CALCULADORA TIPS E-6'!$F$10="14% (Alto)",ROUND('Tabla de Amortizacion'!N50,8),IF('CALCULADORA TIPS E-6'!$F$10=20%,ROUND('Tabla de Amortizacion'!R50,8),ROUND('Tabla de Amortizacion'!V50,8))))))</f>
        <v>0</v>
      </c>
      <c r="C49" s="154">
        <f>IF('CALCULADORA TIPS E-6'!$F$10="Contractual",ROUND('Tabla de Amortizacion'!C50,8),IF('CALCULADORA TIPS E-6'!$F$10="6% (Medio)",ROUND('Tabla de Amortizacion'!G50,8),IF('CALCULADORA TIPS E-6'!$F$10="10% (Medio Alto)",ROUND('Tabla de Amortizacion'!K50,8),IF('CALCULADORA TIPS E-6'!$F$10="14% (Alto)",ROUND('Tabla de Amortizacion'!O50,8),IF('CALCULADORA TIPS E-6'!$F$10=20%,ROUND('Tabla de Amortizacion'!S50,8),ROUND('Tabla de Amortizacion'!W50,8))))))</f>
        <v>0.01304426</v>
      </c>
      <c r="D49" s="154">
        <f>IF('CALCULADORA TIPS E-6'!$F$10="Contractual",ROUND('Tabla de Amortizacion'!D50,8),IF('CALCULADORA TIPS E-6'!$F$10="6% (Medio)",ROUND('Tabla de Amortizacion'!H50,8),IF('CALCULADORA TIPS E-6'!$F$10="10% (Medio Alto)",ROUND('Tabla de Amortizacion'!L50,8),IF('CALCULADORA TIPS E-6'!$F$10="14% (Alto)",ROUND('Tabla de Amortizacion'!P50,8),IF('CALCULADORA TIPS E-6'!$F$10=20%,ROUND('Tabla de Amortizacion'!T50,8),ROUND('Tabla de Amortizacion'!X50,8))))))</f>
        <v>0</v>
      </c>
    </row>
    <row r="50" spans="1:4" ht="12.75">
      <c r="A50" s="153">
        <f t="shared" si="1"/>
        <v>39834</v>
      </c>
      <c r="B50" s="154">
        <f>IF('CALCULADORA TIPS E-6'!$F$10="Contractual",ROUND('Tabla de Amortizacion'!B51,8),IF('CALCULADORA TIPS E-6'!$F$10="6% (Medio)",ROUND('Tabla de Amortizacion'!F51,8),IF('CALCULADORA TIPS E-6'!$F$10="10% (Medio Alto)",ROUND('Tabla de Amortizacion'!J51,8),IF('CALCULADORA TIPS E-6'!$F$10="14% (Alto)",ROUND('Tabla de Amortizacion'!N51,8),IF('CALCULADORA TIPS E-6'!$F$10=20%,ROUND('Tabla de Amortizacion'!R51,8),ROUND('Tabla de Amortizacion'!V51,8))))))</f>
        <v>0</v>
      </c>
      <c r="C50" s="154">
        <f>IF('CALCULADORA TIPS E-6'!$F$10="Contractual",ROUND('Tabla de Amortizacion'!C51,8),IF('CALCULADORA TIPS E-6'!$F$10="6% (Medio)",ROUND('Tabla de Amortizacion'!G51,8),IF('CALCULADORA TIPS E-6'!$F$10="10% (Medio Alto)",ROUND('Tabla de Amortizacion'!K51,8),IF('CALCULADORA TIPS E-6'!$F$10="14% (Alto)",ROUND('Tabla de Amortizacion'!O51,8),IF('CALCULADORA TIPS E-6'!$F$10=20%,ROUND('Tabla de Amortizacion'!S51,8),ROUND('Tabla de Amortizacion'!W51,8))))))</f>
        <v>0.01266639</v>
      </c>
      <c r="D50" s="154">
        <f>IF('CALCULADORA TIPS E-6'!$F$10="Contractual",ROUND('Tabla de Amortizacion'!D51,8),IF('CALCULADORA TIPS E-6'!$F$10="6% (Medio)",ROUND('Tabla de Amortizacion'!H51,8),IF('CALCULADORA TIPS E-6'!$F$10="10% (Medio Alto)",ROUND('Tabla de Amortizacion'!L51,8),IF('CALCULADORA TIPS E-6'!$F$10="14% (Alto)",ROUND('Tabla de Amortizacion'!P51,8),IF('CALCULADORA TIPS E-6'!$F$10=20%,ROUND('Tabla de Amortizacion'!T51,8),ROUND('Tabla de Amortizacion'!X51,8))))))</f>
        <v>0</v>
      </c>
    </row>
    <row r="51" spans="1:4" ht="12.75">
      <c r="A51" s="153">
        <f t="shared" si="1"/>
        <v>39865</v>
      </c>
      <c r="B51" s="154">
        <f>IF('CALCULADORA TIPS E-6'!$F$10="Contractual",ROUND('Tabla de Amortizacion'!B52,8),IF('CALCULADORA TIPS E-6'!$F$10="6% (Medio)",ROUND('Tabla de Amortizacion'!F52,8),IF('CALCULADORA TIPS E-6'!$F$10="10% (Medio Alto)",ROUND('Tabla de Amortizacion'!J52,8),IF('CALCULADORA TIPS E-6'!$F$10="14% (Alto)",ROUND('Tabla de Amortizacion'!N52,8),IF('CALCULADORA TIPS E-6'!$F$10=20%,ROUND('Tabla de Amortizacion'!R52,8),ROUND('Tabla de Amortizacion'!V52,8))))))</f>
        <v>0</v>
      </c>
      <c r="C51" s="154">
        <f>IF('CALCULADORA TIPS E-6'!$F$10="Contractual",ROUND('Tabla de Amortizacion'!C52,8),IF('CALCULADORA TIPS E-6'!$F$10="6% (Medio)",ROUND('Tabla de Amortizacion'!G52,8),IF('CALCULADORA TIPS E-6'!$F$10="10% (Medio Alto)",ROUND('Tabla de Amortizacion'!K52,8),IF('CALCULADORA TIPS E-6'!$F$10="14% (Alto)",ROUND('Tabla de Amortizacion'!O52,8),IF('CALCULADORA TIPS E-6'!$F$10=20%,ROUND('Tabla de Amortizacion'!S52,8),ROUND('Tabla de Amortizacion'!W52,8))))))</f>
        <v>0.01358382</v>
      </c>
      <c r="D51" s="154">
        <f>IF('CALCULADORA TIPS E-6'!$F$10="Contractual",ROUND('Tabla de Amortizacion'!D52,8),IF('CALCULADORA TIPS E-6'!$F$10="6% (Medio)",ROUND('Tabla de Amortizacion'!H52,8),IF('CALCULADORA TIPS E-6'!$F$10="10% (Medio Alto)",ROUND('Tabla de Amortizacion'!L52,8),IF('CALCULADORA TIPS E-6'!$F$10="14% (Alto)",ROUND('Tabla de Amortizacion'!P52,8),IF('CALCULADORA TIPS E-6'!$F$10=20%,ROUND('Tabla de Amortizacion'!T52,8),ROUND('Tabla de Amortizacion'!X52,8))))))</f>
        <v>0</v>
      </c>
    </row>
    <row r="52" spans="1:4" ht="12.75">
      <c r="A52" s="153">
        <f t="shared" si="1"/>
        <v>39893</v>
      </c>
      <c r="B52" s="154">
        <f>IF('CALCULADORA TIPS E-6'!$F$10="Contractual",ROUND('Tabla de Amortizacion'!B53,8),IF('CALCULADORA TIPS E-6'!$F$10="6% (Medio)",ROUND('Tabla de Amortizacion'!F53,8),IF('CALCULADORA TIPS E-6'!$F$10="10% (Medio Alto)",ROUND('Tabla de Amortizacion'!J53,8),IF('CALCULADORA TIPS E-6'!$F$10="14% (Alto)",ROUND('Tabla de Amortizacion'!N53,8),IF('CALCULADORA TIPS E-6'!$F$10=20%,ROUND('Tabla de Amortizacion'!R53,8),ROUND('Tabla de Amortizacion'!V53,8))))))</f>
        <v>0</v>
      </c>
      <c r="C52" s="154">
        <f>IF('CALCULADORA TIPS E-6'!$F$10="Contractual",ROUND('Tabla de Amortizacion'!C53,8),IF('CALCULADORA TIPS E-6'!$F$10="6% (Medio)",ROUND('Tabla de Amortizacion'!G53,8),IF('CALCULADORA TIPS E-6'!$F$10="10% (Medio Alto)",ROUND('Tabla de Amortizacion'!K53,8),IF('CALCULADORA TIPS E-6'!$F$10="14% (Alto)",ROUND('Tabla de Amortizacion'!O53,8),IF('CALCULADORA TIPS E-6'!$F$10=20%,ROUND('Tabla de Amortizacion'!S53,8),ROUND('Tabla de Amortizacion'!W53,8))))))</f>
        <v>0.01344169</v>
      </c>
      <c r="D52" s="154">
        <f>IF('CALCULADORA TIPS E-6'!$F$10="Contractual",ROUND('Tabla de Amortizacion'!D53,8),IF('CALCULADORA TIPS E-6'!$F$10="6% (Medio)",ROUND('Tabla de Amortizacion'!H53,8),IF('CALCULADORA TIPS E-6'!$F$10="10% (Medio Alto)",ROUND('Tabla de Amortizacion'!L53,8),IF('CALCULADORA TIPS E-6'!$F$10="14% (Alto)",ROUND('Tabla de Amortizacion'!P53,8),IF('CALCULADORA TIPS E-6'!$F$10=20%,ROUND('Tabla de Amortizacion'!T53,8),ROUND('Tabla de Amortizacion'!X53,8))))))</f>
        <v>0</v>
      </c>
    </row>
    <row r="53" spans="1:4" ht="12.75">
      <c r="A53" s="153">
        <f t="shared" si="1"/>
        <v>39924</v>
      </c>
      <c r="B53" s="154">
        <f>IF('CALCULADORA TIPS E-6'!$F$10="Contractual",ROUND('Tabla de Amortizacion'!B54,8),IF('CALCULADORA TIPS E-6'!$F$10="6% (Medio)",ROUND('Tabla de Amortizacion'!F54,8),IF('CALCULADORA TIPS E-6'!$F$10="10% (Medio Alto)",ROUND('Tabla de Amortizacion'!J54,8),IF('CALCULADORA TIPS E-6'!$F$10="14% (Alto)",ROUND('Tabla de Amortizacion'!N54,8),IF('CALCULADORA TIPS E-6'!$F$10=20%,ROUND('Tabla de Amortizacion'!R54,8),ROUND('Tabla de Amortizacion'!V54,8))))))</f>
        <v>0</v>
      </c>
      <c r="C53" s="154">
        <f>IF('CALCULADORA TIPS E-6'!$F$10="Contractual",ROUND('Tabla de Amortizacion'!C54,8),IF('CALCULADORA TIPS E-6'!$F$10="6% (Medio)",ROUND('Tabla de Amortizacion'!G54,8),IF('CALCULADORA TIPS E-6'!$F$10="10% (Medio Alto)",ROUND('Tabla de Amortizacion'!K54,8),IF('CALCULADORA TIPS E-6'!$F$10="14% (Alto)",ROUND('Tabla de Amortizacion'!O54,8),IF('CALCULADORA TIPS E-6'!$F$10=20%,ROUND('Tabla de Amortizacion'!S54,8),ROUND('Tabla de Amortizacion'!W54,8))))))</f>
        <v>0.01068332</v>
      </c>
      <c r="D53" s="154">
        <f>IF('CALCULADORA TIPS E-6'!$F$10="Contractual",ROUND('Tabla de Amortizacion'!D54,8),IF('CALCULADORA TIPS E-6'!$F$10="6% (Medio)",ROUND('Tabla de Amortizacion'!H54,8),IF('CALCULADORA TIPS E-6'!$F$10="10% (Medio Alto)",ROUND('Tabla de Amortizacion'!L54,8),IF('CALCULADORA TIPS E-6'!$F$10="14% (Alto)",ROUND('Tabla de Amortizacion'!P54,8),IF('CALCULADORA TIPS E-6'!$F$10=20%,ROUND('Tabla de Amortizacion'!T54,8),ROUND('Tabla de Amortizacion'!X54,8))))))</f>
        <v>0</v>
      </c>
    </row>
    <row r="54" spans="1:4" ht="12.75">
      <c r="A54" s="153">
        <f t="shared" si="1"/>
        <v>39954</v>
      </c>
      <c r="B54" s="154">
        <f>IF('CALCULADORA TIPS E-6'!$F$10="Contractual",ROUND('Tabla de Amortizacion'!B55,8),IF('CALCULADORA TIPS E-6'!$F$10="6% (Medio)",ROUND('Tabla de Amortizacion'!F55,8),IF('CALCULADORA TIPS E-6'!$F$10="10% (Medio Alto)",ROUND('Tabla de Amortizacion'!J55,8),IF('CALCULADORA TIPS E-6'!$F$10="14% (Alto)",ROUND('Tabla de Amortizacion'!N55,8),IF('CALCULADORA TIPS E-6'!$F$10=20%,ROUND('Tabla de Amortizacion'!R55,8),ROUND('Tabla de Amortizacion'!V55,8))))))</f>
        <v>0</v>
      </c>
      <c r="C54" s="154">
        <f>IF('CALCULADORA TIPS E-6'!$F$10="Contractual",ROUND('Tabla de Amortizacion'!C55,8),IF('CALCULADORA TIPS E-6'!$F$10="6% (Medio)",ROUND('Tabla de Amortizacion'!G55,8),IF('CALCULADORA TIPS E-6'!$F$10="10% (Medio Alto)",ROUND('Tabla de Amortizacion'!K55,8),IF('CALCULADORA TIPS E-6'!$F$10="14% (Alto)",ROUND('Tabla de Amortizacion'!O55,8),IF('CALCULADORA TIPS E-6'!$F$10=20%,ROUND('Tabla de Amortizacion'!S55,8),ROUND('Tabla de Amortizacion'!W55,8))))))</f>
        <v>0.01275332</v>
      </c>
      <c r="D54" s="154">
        <f>IF('CALCULADORA TIPS E-6'!$F$10="Contractual",ROUND('Tabla de Amortizacion'!D55,8),IF('CALCULADORA TIPS E-6'!$F$10="6% (Medio)",ROUND('Tabla de Amortizacion'!H55,8),IF('CALCULADORA TIPS E-6'!$F$10="10% (Medio Alto)",ROUND('Tabla de Amortizacion'!L55,8),IF('CALCULADORA TIPS E-6'!$F$10="14% (Alto)",ROUND('Tabla de Amortizacion'!P55,8),IF('CALCULADORA TIPS E-6'!$F$10=20%,ROUND('Tabla de Amortizacion'!T55,8),ROUND('Tabla de Amortizacion'!X55,8))))))</f>
        <v>0</v>
      </c>
    </row>
    <row r="55" spans="1:4" ht="12.75">
      <c r="A55" s="153">
        <f t="shared" si="1"/>
        <v>39985</v>
      </c>
      <c r="B55" s="154">
        <f>IF('CALCULADORA TIPS E-6'!$F$10="Contractual",ROUND('Tabla de Amortizacion'!B56,8),IF('CALCULADORA TIPS E-6'!$F$10="6% (Medio)",ROUND('Tabla de Amortizacion'!F56,8),IF('CALCULADORA TIPS E-6'!$F$10="10% (Medio Alto)",ROUND('Tabla de Amortizacion'!J56,8),IF('CALCULADORA TIPS E-6'!$F$10="14% (Alto)",ROUND('Tabla de Amortizacion'!N56,8),IF('CALCULADORA TIPS E-6'!$F$10=20%,ROUND('Tabla de Amortizacion'!R56,8),ROUND('Tabla de Amortizacion'!V56,8))))))</f>
        <v>0</v>
      </c>
      <c r="C55" s="154">
        <f>IF('CALCULADORA TIPS E-6'!$F$10="Contractual",ROUND('Tabla de Amortizacion'!C56,8),IF('CALCULADORA TIPS E-6'!$F$10="6% (Medio)",ROUND('Tabla de Amortizacion'!G56,8),IF('CALCULADORA TIPS E-6'!$F$10="10% (Medio Alto)",ROUND('Tabla de Amortizacion'!K56,8),IF('CALCULADORA TIPS E-6'!$F$10="14% (Alto)",ROUND('Tabla de Amortizacion'!O56,8),IF('CALCULADORA TIPS E-6'!$F$10=20%,ROUND('Tabla de Amortizacion'!S56,8),ROUND('Tabla de Amortizacion'!W56,8))))))</f>
        <v>0.01249685</v>
      </c>
      <c r="D55" s="154">
        <f>IF('CALCULADORA TIPS E-6'!$F$10="Contractual",ROUND('Tabla de Amortizacion'!D56,8),IF('CALCULADORA TIPS E-6'!$F$10="6% (Medio)",ROUND('Tabla de Amortizacion'!H56,8),IF('CALCULADORA TIPS E-6'!$F$10="10% (Medio Alto)",ROUND('Tabla de Amortizacion'!L56,8),IF('CALCULADORA TIPS E-6'!$F$10="14% (Alto)",ROUND('Tabla de Amortizacion'!P56,8),IF('CALCULADORA TIPS E-6'!$F$10=20%,ROUND('Tabla de Amortizacion'!T56,8),ROUND('Tabla de Amortizacion'!X56,8))))))</f>
        <v>0</v>
      </c>
    </row>
    <row r="56" spans="1:4" ht="12.75">
      <c r="A56" s="153">
        <f t="shared" si="1"/>
        <v>40015</v>
      </c>
      <c r="B56" s="154">
        <f>IF('CALCULADORA TIPS E-6'!$F$10="Contractual",ROUND('Tabla de Amortizacion'!B57,8),IF('CALCULADORA TIPS E-6'!$F$10="6% (Medio)",ROUND('Tabla de Amortizacion'!F57,8),IF('CALCULADORA TIPS E-6'!$F$10="10% (Medio Alto)",ROUND('Tabla de Amortizacion'!J57,8),IF('CALCULADORA TIPS E-6'!$F$10="14% (Alto)",ROUND('Tabla de Amortizacion'!N57,8),IF('CALCULADORA TIPS E-6'!$F$10=20%,ROUND('Tabla de Amortizacion'!R57,8),ROUND('Tabla de Amortizacion'!V57,8))))))</f>
        <v>0</v>
      </c>
      <c r="C56" s="154">
        <f>IF('CALCULADORA TIPS E-6'!$F$10="Contractual",ROUND('Tabla de Amortizacion'!C57,8),IF('CALCULADORA TIPS E-6'!$F$10="6% (Medio)",ROUND('Tabla de Amortizacion'!G57,8),IF('CALCULADORA TIPS E-6'!$F$10="10% (Medio Alto)",ROUND('Tabla de Amortizacion'!K57,8),IF('CALCULADORA TIPS E-6'!$F$10="14% (Alto)",ROUND('Tabla de Amortizacion'!O57,8),IF('CALCULADORA TIPS E-6'!$F$10=20%,ROUND('Tabla de Amortizacion'!S57,8),ROUND('Tabla de Amortizacion'!W57,8))))))</f>
        <v>0.00764142</v>
      </c>
      <c r="D56" s="154">
        <f>IF('CALCULADORA TIPS E-6'!$F$10="Contractual",ROUND('Tabla de Amortizacion'!D57,8),IF('CALCULADORA TIPS E-6'!$F$10="6% (Medio)",ROUND('Tabla de Amortizacion'!H57,8),IF('CALCULADORA TIPS E-6'!$F$10="10% (Medio Alto)",ROUND('Tabla de Amortizacion'!L57,8),IF('CALCULADORA TIPS E-6'!$F$10="14% (Alto)",ROUND('Tabla de Amortizacion'!P57,8),IF('CALCULADORA TIPS E-6'!$F$10=20%,ROUND('Tabla de Amortizacion'!T57,8),ROUND('Tabla de Amortizacion'!X57,8))))))</f>
        <v>0.0143404</v>
      </c>
    </row>
    <row r="57" spans="1:4" ht="12.75">
      <c r="A57" s="153">
        <f t="shared" si="1"/>
        <v>40046</v>
      </c>
      <c r="B57" s="154">
        <f>IF('CALCULADORA TIPS E-6'!$F$10="Contractual",ROUND('Tabla de Amortizacion'!B58,8),IF('CALCULADORA TIPS E-6'!$F$10="6% (Medio)",ROUND('Tabla de Amortizacion'!F58,8),IF('CALCULADORA TIPS E-6'!$F$10="10% (Medio Alto)",ROUND('Tabla de Amortizacion'!J58,8),IF('CALCULADORA TIPS E-6'!$F$10="14% (Alto)",ROUND('Tabla de Amortizacion'!N58,8),IF('CALCULADORA TIPS E-6'!$F$10=20%,ROUND('Tabla de Amortizacion'!R58,8),ROUND('Tabla de Amortizacion'!V58,8))))))</f>
        <v>0</v>
      </c>
      <c r="C57" s="154">
        <f>IF('CALCULADORA TIPS E-6'!$F$10="Contractual",ROUND('Tabla de Amortizacion'!C58,8),IF('CALCULADORA TIPS E-6'!$F$10="6% (Medio)",ROUND('Tabla de Amortizacion'!G58,8),IF('CALCULADORA TIPS E-6'!$F$10="10% (Medio Alto)",ROUND('Tabla de Amortizacion'!K58,8),IF('CALCULADORA TIPS E-6'!$F$10="14% (Alto)",ROUND('Tabla de Amortizacion'!O58,8),IF('CALCULADORA TIPS E-6'!$F$10=20%,ROUND('Tabla de Amortizacion'!S58,8),ROUND('Tabla de Amortizacion'!W58,8))))))</f>
        <v>0</v>
      </c>
      <c r="D57" s="154">
        <f>IF('CALCULADORA TIPS E-6'!$F$10="Contractual",ROUND('Tabla de Amortizacion'!D58,8),IF('CALCULADORA TIPS E-6'!$F$10="6% (Medio)",ROUND('Tabla de Amortizacion'!H58,8),IF('CALCULADORA TIPS E-6'!$F$10="10% (Medio Alto)",ROUND('Tabla de Amortizacion'!L58,8),IF('CALCULADORA TIPS E-6'!$F$10="14% (Alto)",ROUND('Tabla de Amortizacion'!P58,8),IF('CALCULADORA TIPS E-6'!$F$10=20%,ROUND('Tabla de Amortizacion'!T58,8),ROUND('Tabla de Amortizacion'!X58,8))))))</f>
        <v>0.05479452</v>
      </c>
    </row>
    <row r="58" spans="1:4" ht="12.75">
      <c r="A58" s="153">
        <f t="shared" si="1"/>
        <v>40077</v>
      </c>
      <c r="B58" s="154">
        <f>IF('CALCULADORA TIPS E-6'!$F$10="Contractual",ROUND('Tabla de Amortizacion'!B59,8),IF('CALCULADORA TIPS E-6'!$F$10="6% (Medio)",ROUND('Tabla de Amortizacion'!F59,8),IF('CALCULADORA TIPS E-6'!$F$10="10% (Medio Alto)",ROUND('Tabla de Amortizacion'!J59,8),IF('CALCULADORA TIPS E-6'!$F$10="14% (Alto)",ROUND('Tabla de Amortizacion'!N59,8),IF('CALCULADORA TIPS E-6'!$F$10=20%,ROUND('Tabla de Amortizacion'!R59,8),ROUND('Tabla de Amortizacion'!V59,8))))))</f>
        <v>0</v>
      </c>
      <c r="C58" s="154">
        <f>IF('CALCULADORA TIPS E-6'!$F$10="Contractual",ROUND('Tabla de Amortizacion'!C59,8),IF('CALCULADORA TIPS E-6'!$F$10="6% (Medio)",ROUND('Tabla de Amortizacion'!G59,8),IF('CALCULADORA TIPS E-6'!$F$10="10% (Medio Alto)",ROUND('Tabla de Amortizacion'!K59,8),IF('CALCULADORA TIPS E-6'!$F$10="14% (Alto)",ROUND('Tabla de Amortizacion'!O59,8),IF('CALCULADORA TIPS E-6'!$F$10=20%,ROUND('Tabla de Amortizacion'!S59,8),ROUND('Tabla de Amortizacion'!W59,8))))))</f>
        <v>0</v>
      </c>
      <c r="D58" s="154">
        <f>IF('CALCULADORA TIPS E-6'!$F$10="Contractual",ROUND('Tabla de Amortizacion'!D59,8),IF('CALCULADORA TIPS E-6'!$F$10="6% (Medio)",ROUND('Tabla de Amortizacion'!H59,8),IF('CALCULADORA TIPS E-6'!$F$10="10% (Medio Alto)",ROUND('Tabla de Amortizacion'!L59,8),IF('CALCULADORA TIPS E-6'!$F$10="14% (Alto)",ROUND('Tabla de Amortizacion'!P59,8),IF('CALCULADORA TIPS E-6'!$F$10=20%,ROUND('Tabla de Amortizacion'!T59,8),ROUND('Tabla de Amortizacion'!X59,8))))))</f>
        <v>0.05028623</v>
      </c>
    </row>
    <row r="59" spans="1:4" ht="12.75">
      <c r="A59" s="153">
        <f t="shared" si="1"/>
        <v>40107</v>
      </c>
      <c r="B59" s="154">
        <f>IF('CALCULADORA TIPS E-6'!$F$10="Contractual",ROUND('Tabla de Amortizacion'!B60,8),IF('CALCULADORA TIPS E-6'!$F$10="6% (Medio)",ROUND('Tabla de Amortizacion'!F60,8),IF('CALCULADORA TIPS E-6'!$F$10="10% (Medio Alto)",ROUND('Tabla de Amortizacion'!J60,8),IF('CALCULADORA TIPS E-6'!$F$10="14% (Alto)",ROUND('Tabla de Amortizacion'!N60,8),IF('CALCULADORA TIPS E-6'!$F$10=20%,ROUND('Tabla de Amortizacion'!R60,8),ROUND('Tabla de Amortizacion'!V60,8))))))</f>
        <v>0</v>
      </c>
      <c r="C59" s="154">
        <f>IF('CALCULADORA TIPS E-6'!$F$10="Contractual",ROUND('Tabla de Amortizacion'!C60,8),IF('CALCULADORA TIPS E-6'!$F$10="6% (Medio)",ROUND('Tabla de Amortizacion'!G60,8),IF('CALCULADORA TIPS E-6'!$F$10="10% (Medio Alto)",ROUND('Tabla de Amortizacion'!K60,8),IF('CALCULADORA TIPS E-6'!$F$10="14% (Alto)",ROUND('Tabla de Amortizacion'!O60,8),IF('CALCULADORA TIPS E-6'!$F$10=20%,ROUND('Tabla de Amortizacion'!S60,8),ROUND('Tabla de Amortizacion'!W60,8))))))</f>
        <v>0</v>
      </c>
      <c r="D59" s="154">
        <f>IF('CALCULADORA TIPS E-6'!$F$10="Contractual",ROUND('Tabla de Amortizacion'!D60,8),IF('CALCULADORA TIPS E-6'!$F$10="6% (Medio)",ROUND('Tabla de Amortizacion'!H60,8),IF('CALCULADORA TIPS E-6'!$F$10="10% (Medio Alto)",ROUND('Tabla de Amortizacion'!L60,8),IF('CALCULADORA TIPS E-6'!$F$10="14% (Alto)",ROUND('Tabla de Amortizacion'!P60,8),IF('CALCULADORA TIPS E-6'!$F$10=20%,ROUND('Tabla de Amortizacion'!T60,8),ROUND('Tabla de Amortizacion'!X60,8))))))</f>
        <v>0.04870149</v>
      </c>
    </row>
    <row r="60" spans="1:4" ht="12.75">
      <c r="A60" s="153">
        <f t="shared" si="1"/>
        <v>40138</v>
      </c>
      <c r="B60" s="154">
        <f>IF('CALCULADORA TIPS E-6'!$F$10="Contractual",ROUND('Tabla de Amortizacion'!B61,8),IF('CALCULADORA TIPS E-6'!$F$10="6% (Medio)",ROUND('Tabla de Amortizacion'!F61,8),IF('CALCULADORA TIPS E-6'!$F$10="10% (Medio Alto)",ROUND('Tabla de Amortizacion'!J61,8),IF('CALCULADORA TIPS E-6'!$F$10="14% (Alto)",ROUND('Tabla de Amortizacion'!N61,8),IF('CALCULADORA TIPS E-6'!$F$10=20%,ROUND('Tabla de Amortizacion'!R61,8),ROUND('Tabla de Amortizacion'!V61,8))))))</f>
        <v>0</v>
      </c>
      <c r="C60" s="154">
        <f>IF('CALCULADORA TIPS E-6'!$F$10="Contractual",ROUND('Tabla de Amortizacion'!C61,8),IF('CALCULADORA TIPS E-6'!$F$10="6% (Medio)",ROUND('Tabla de Amortizacion'!G61,8),IF('CALCULADORA TIPS E-6'!$F$10="10% (Medio Alto)",ROUND('Tabla de Amortizacion'!K61,8),IF('CALCULADORA TIPS E-6'!$F$10="14% (Alto)",ROUND('Tabla de Amortizacion'!O61,8),IF('CALCULADORA TIPS E-6'!$F$10=20%,ROUND('Tabla de Amortizacion'!S61,8),ROUND('Tabla de Amortizacion'!W61,8))))))</f>
        <v>0</v>
      </c>
      <c r="D60" s="154">
        <f>IF('CALCULADORA TIPS E-6'!$F$10="Contractual",ROUND('Tabla de Amortizacion'!D61,8),IF('CALCULADORA TIPS E-6'!$F$10="6% (Medio)",ROUND('Tabla de Amortizacion'!H61,8),IF('CALCULADORA TIPS E-6'!$F$10="10% (Medio Alto)",ROUND('Tabla de Amortizacion'!L61,8),IF('CALCULADORA TIPS E-6'!$F$10="14% (Alto)",ROUND('Tabla de Amortizacion'!P61,8),IF('CALCULADORA TIPS E-6'!$F$10=20%,ROUND('Tabla de Amortizacion'!T61,8),ROUND('Tabla de Amortizacion'!X61,8))))))</f>
        <v>0.05362941</v>
      </c>
    </row>
    <row r="61" spans="1:4" ht="12.75">
      <c r="A61" s="153">
        <f t="shared" si="1"/>
        <v>40168</v>
      </c>
      <c r="B61" s="154">
        <f>IF('CALCULADORA TIPS E-6'!$F$10="Contractual",ROUND('Tabla de Amortizacion'!B62,8),IF('CALCULADORA TIPS E-6'!$F$10="6% (Medio)",ROUND('Tabla de Amortizacion'!F62,8),IF('CALCULADORA TIPS E-6'!$F$10="10% (Medio Alto)",ROUND('Tabla de Amortizacion'!J62,8),IF('CALCULADORA TIPS E-6'!$F$10="14% (Alto)",ROUND('Tabla de Amortizacion'!N62,8),IF('CALCULADORA TIPS E-6'!$F$10=20%,ROUND('Tabla de Amortizacion'!R62,8),ROUND('Tabla de Amortizacion'!V62,8))))))</f>
        <v>0</v>
      </c>
      <c r="C61" s="154">
        <f>IF('CALCULADORA TIPS E-6'!$F$10="Contractual",ROUND('Tabla de Amortizacion'!C62,8),IF('CALCULADORA TIPS E-6'!$F$10="6% (Medio)",ROUND('Tabla de Amortizacion'!G62,8),IF('CALCULADORA TIPS E-6'!$F$10="10% (Medio Alto)",ROUND('Tabla de Amortizacion'!K62,8),IF('CALCULADORA TIPS E-6'!$F$10="14% (Alto)",ROUND('Tabla de Amortizacion'!O62,8),IF('CALCULADORA TIPS E-6'!$F$10=20%,ROUND('Tabla de Amortizacion'!S62,8),ROUND('Tabla de Amortizacion'!W62,8))))))</f>
        <v>0</v>
      </c>
      <c r="D61" s="154">
        <f>IF('CALCULADORA TIPS E-6'!$F$10="Contractual",ROUND('Tabla de Amortizacion'!D62,8),IF('CALCULADORA TIPS E-6'!$F$10="6% (Medio)",ROUND('Tabla de Amortizacion'!H62,8),IF('CALCULADORA TIPS E-6'!$F$10="10% (Medio Alto)",ROUND('Tabla de Amortizacion'!L62,8),IF('CALCULADORA TIPS E-6'!$F$10="14% (Alto)",ROUND('Tabla de Amortizacion'!P62,8),IF('CALCULADORA TIPS E-6'!$F$10=20%,ROUND('Tabla de Amortizacion'!T62,8),ROUND('Tabla de Amortizacion'!X62,8))))))</f>
        <v>0.03911193</v>
      </c>
    </row>
    <row r="62" spans="1:4" ht="12.75">
      <c r="A62" s="153">
        <f t="shared" si="1"/>
        <v>40199</v>
      </c>
      <c r="B62" s="154">
        <f>IF('CALCULADORA TIPS E-6'!$F$10="Contractual",ROUND('Tabla de Amortizacion'!B63,8),IF('CALCULADORA TIPS E-6'!$F$10="6% (Medio)",ROUND('Tabla de Amortizacion'!F63,8),IF('CALCULADORA TIPS E-6'!$F$10="10% (Medio Alto)",ROUND('Tabla de Amortizacion'!J63,8),IF('CALCULADORA TIPS E-6'!$F$10="14% (Alto)",ROUND('Tabla de Amortizacion'!N63,8),IF('CALCULADORA TIPS E-6'!$F$10=20%,ROUND('Tabla de Amortizacion'!R63,8),ROUND('Tabla de Amortizacion'!V63,8))))))</f>
        <v>0</v>
      </c>
      <c r="C62" s="154">
        <f>IF('CALCULADORA TIPS E-6'!$F$10="Contractual",ROUND('Tabla de Amortizacion'!C63,8),IF('CALCULADORA TIPS E-6'!$F$10="6% (Medio)",ROUND('Tabla de Amortizacion'!G63,8),IF('CALCULADORA TIPS E-6'!$F$10="10% (Medio Alto)",ROUND('Tabla de Amortizacion'!K63,8),IF('CALCULADORA TIPS E-6'!$F$10="14% (Alto)",ROUND('Tabla de Amortizacion'!O63,8),IF('CALCULADORA TIPS E-6'!$F$10=20%,ROUND('Tabla de Amortizacion'!S63,8),ROUND('Tabla de Amortizacion'!W63,8))))))</f>
        <v>0</v>
      </c>
      <c r="D62" s="154">
        <f>IF('CALCULADORA TIPS E-6'!$F$10="Contractual",ROUND('Tabla de Amortizacion'!D63,8),IF('CALCULADORA TIPS E-6'!$F$10="6% (Medio)",ROUND('Tabla de Amortizacion'!H63,8),IF('CALCULADORA TIPS E-6'!$F$10="10% (Medio Alto)",ROUND('Tabla de Amortizacion'!L63,8),IF('CALCULADORA TIPS E-6'!$F$10="14% (Alto)",ROUND('Tabla de Amortizacion'!P63,8),IF('CALCULADORA TIPS E-6'!$F$10=20%,ROUND('Tabla de Amortizacion'!T63,8),ROUND('Tabla de Amortizacion'!X63,8))))))</f>
        <v>0.04339387</v>
      </c>
    </row>
    <row r="63" spans="1:4" ht="12.75">
      <c r="A63" s="153">
        <f t="shared" si="1"/>
        <v>40230</v>
      </c>
      <c r="B63" s="154">
        <f>IF('CALCULADORA TIPS E-6'!$F$10="Contractual",ROUND('Tabla de Amortizacion'!B64,8),IF('CALCULADORA TIPS E-6'!$F$10="6% (Medio)",ROUND('Tabla de Amortizacion'!F64,8),IF('CALCULADORA TIPS E-6'!$F$10="10% (Medio Alto)",ROUND('Tabla de Amortizacion'!J64,8),IF('CALCULADORA TIPS E-6'!$F$10="14% (Alto)",ROUND('Tabla de Amortizacion'!N64,8),IF('CALCULADORA TIPS E-6'!$F$10=20%,ROUND('Tabla de Amortizacion'!R64,8),ROUND('Tabla de Amortizacion'!V64,8))))))</f>
        <v>0</v>
      </c>
      <c r="C63" s="154">
        <f>IF('CALCULADORA TIPS E-6'!$F$10="Contractual",ROUND('Tabla de Amortizacion'!C64,8),IF('CALCULADORA TIPS E-6'!$F$10="6% (Medio)",ROUND('Tabla de Amortizacion'!G64,8),IF('CALCULADORA TIPS E-6'!$F$10="10% (Medio Alto)",ROUND('Tabla de Amortizacion'!K64,8),IF('CALCULADORA TIPS E-6'!$F$10="14% (Alto)",ROUND('Tabla de Amortizacion'!O64,8),IF('CALCULADORA TIPS E-6'!$F$10=20%,ROUND('Tabla de Amortizacion'!S64,8),ROUND('Tabla de Amortizacion'!W64,8))))))</f>
        <v>0</v>
      </c>
      <c r="D63" s="154">
        <f>IF('CALCULADORA TIPS E-6'!$F$10="Contractual",ROUND('Tabla de Amortizacion'!D64,8),IF('CALCULADORA TIPS E-6'!$F$10="6% (Medio)",ROUND('Tabla de Amortizacion'!H64,8),IF('CALCULADORA TIPS E-6'!$F$10="10% (Medio Alto)",ROUND('Tabla de Amortizacion'!L64,8),IF('CALCULADORA TIPS E-6'!$F$10="14% (Alto)",ROUND('Tabla de Amortizacion'!P64,8),IF('CALCULADORA TIPS E-6'!$F$10=20%,ROUND('Tabla de Amortizacion'!T64,8),ROUND('Tabla de Amortizacion'!X64,8))))))</f>
        <v>0.04616975</v>
      </c>
    </row>
    <row r="64" spans="1:4" ht="12.75">
      <c r="A64" s="153">
        <f t="shared" si="1"/>
        <v>40258</v>
      </c>
      <c r="B64" s="154">
        <f>IF('CALCULADORA TIPS E-6'!$F$10="Contractual",ROUND('Tabla de Amortizacion'!B65,8),IF('CALCULADORA TIPS E-6'!$F$10="6% (Medio)",ROUND('Tabla de Amortizacion'!F65,8),IF('CALCULADORA TIPS E-6'!$F$10="10% (Medio Alto)",ROUND('Tabla de Amortizacion'!J65,8),IF('CALCULADORA TIPS E-6'!$F$10="14% (Alto)",ROUND('Tabla de Amortizacion'!N65,8),IF('CALCULADORA TIPS E-6'!$F$10=20%,ROUND('Tabla de Amortizacion'!R65,8),ROUND('Tabla de Amortizacion'!V65,8))))))</f>
        <v>0</v>
      </c>
      <c r="C64" s="154">
        <f>IF('CALCULADORA TIPS E-6'!$F$10="Contractual",ROUND('Tabla de Amortizacion'!C65,8),IF('CALCULADORA TIPS E-6'!$F$10="6% (Medio)",ROUND('Tabla de Amortizacion'!G65,8),IF('CALCULADORA TIPS E-6'!$F$10="10% (Medio Alto)",ROUND('Tabla de Amortizacion'!K65,8),IF('CALCULADORA TIPS E-6'!$F$10="14% (Alto)",ROUND('Tabla de Amortizacion'!O65,8),IF('CALCULADORA TIPS E-6'!$F$10=20%,ROUND('Tabla de Amortizacion'!S65,8),ROUND('Tabla de Amortizacion'!W65,8))))))</f>
        <v>0</v>
      </c>
      <c r="D64" s="154">
        <f>IF('CALCULADORA TIPS E-6'!$F$10="Contractual",ROUND('Tabla de Amortizacion'!D65,8),IF('CALCULADORA TIPS E-6'!$F$10="6% (Medio)",ROUND('Tabla de Amortizacion'!H65,8),IF('CALCULADORA TIPS E-6'!$F$10="10% (Medio Alto)",ROUND('Tabla de Amortizacion'!L65,8),IF('CALCULADORA TIPS E-6'!$F$10="14% (Alto)",ROUND('Tabla de Amortizacion'!P65,8),IF('CALCULADORA TIPS E-6'!$F$10=20%,ROUND('Tabla de Amortizacion'!T65,8),ROUND('Tabla de Amortizacion'!X65,8))))))</f>
        <v>0.03663447</v>
      </c>
    </row>
    <row r="65" spans="1:4" ht="12.75">
      <c r="A65" s="153">
        <f t="shared" si="1"/>
        <v>40289</v>
      </c>
      <c r="B65" s="154">
        <f>IF('CALCULADORA TIPS E-6'!$F$10="Contractual",ROUND('Tabla de Amortizacion'!B66,8),IF('CALCULADORA TIPS E-6'!$F$10="6% (Medio)",ROUND('Tabla de Amortizacion'!F66,8),IF('CALCULADORA TIPS E-6'!$F$10="10% (Medio Alto)",ROUND('Tabla de Amortizacion'!J66,8),IF('CALCULADORA TIPS E-6'!$F$10="14% (Alto)",ROUND('Tabla de Amortizacion'!N66,8),IF('CALCULADORA TIPS E-6'!$F$10=20%,ROUND('Tabla de Amortizacion'!R66,8),ROUND('Tabla de Amortizacion'!V66,8))))))</f>
        <v>0</v>
      </c>
      <c r="C65" s="154">
        <f>IF('CALCULADORA TIPS E-6'!$F$10="Contractual",ROUND('Tabla de Amortizacion'!C66,8),IF('CALCULADORA TIPS E-6'!$F$10="6% (Medio)",ROUND('Tabla de Amortizacion'!G66,8),IF('CALCULADORA TIPS E-6'!$F$10="10% (Medio Alto)",ROUND('Tabla de Amortizacion'!K66,8),IF('CALCULADORA TIPS E-6'!$F$10="14% (Alto)",ROUND('Tabla de Amortizacion'!O66,8),IF('CALCULADORA TIPS E-6'!$F$10=20%,ROUND('Tabla de Amortizacion'!S66,8),ROUND('Tabla de Amortizacion'!W66,8))))))</f>
        <v>0</v>
      </c>
      <c r="D65" s="154">
        <f>IF('CALCULADORA TIPS E-6'!$F$10="Contractual",ROUND('Tabla de Amortizacion'!D66,8),IF('CALCULADORA TIPS E-6'!$F$10="6% (Medio)",ROUND('Tabla de Amortizacion'!H66,8),IF('CALCULADORA TIPS E-6'!$F$10="10% (Medio Alto)",ROUND('Tabla de Amortizacion'!L66,8),IF('CALCULADORA TIPS E-6'!$F$10="14% (Alto)",ROUND('Tabla de Amortizacion'!P66,8),IF('CALCULADORA TIPS E-6'!$F$10=20%,ROUND('Tabla de Amortizacion'!T66,8),ROUND('Tabla de Amortizacion'!X66,8))))))</f>
        <v>0.04153187</v>
      </c>
    </row>
    <row r="66" spans="1:4" ht="12.75">
      <c r="A66" s="153">
        <f t="shared" si="1"/>
        <v>40319</v>
      </c>
      <c r="B66" s="154">
        <f>IF('CALCULADORA TIPS E-6'!$F$10="Contractual",ROUND('Tabla de Amortizacion'!B67,8),IF('CALCULADORA TIPS E-6'!$F$10="6% (Medio)",ROUND('Tabla de Amortizacion'!F67,8),IF('CALCULADORA TIPS E-6'!$F$10="10% (Medio Alto)",ROUND('Tabla de Amortizacion'!J67,8),IF('CALCULADORA TIPS E-6'!$F$10="14% (Alto)",ROUND('Tabla de Amortizacion'!N67,8),IF('CALCULADORA TIPS E-6'!$F$10=20%,ROUND('Tabla de Amortizacion'!R67,8),ROUND('Tabla de Amortizacion'!V67,8))))))</f>
        <v>0</v>
      </c>
      <c r="C66" s="154">
        <f>IF('CALCULADORA TIPS E-6'!$F$10="Contractual",ROUND('Tabla de Amortizacion'!C67,8),IF('CALCULADORA TIPS E-6'!$F$10="6% (Medio)",ROUND('Tabla de Amortizacion'!G67,8),IF('CALCULADORA TIPS E-6'!$F$10="10% (Medio Alto)",ROUND('Tabla de Amortizacion'!K67,8),IF('CALCULADORA TIPS E-6'!$F$10="14% (Alto)",ROUND('Tabla de Amortizacion'!O67,8),IF('CALCULADORA TIPS E-6'!$F$10=20%,ROUND('Tabla de Amortizacion'!S67,8),ROUND('Tabla de Amortizacion'!W67,8))))))</f>
        <v>0</v>
      </c>
      <c r="D66" s="154">
        <f>IF('CALCULADORA TIPS E-6'!$F$10="Contractual",ROUND('Tabla de Amortizacion'!D67,8),IF('CALCULADORA TIPS E-6'!$F$10="6% (Medio)",ROUND('Tabla de Amortizacion'!H67,8),IF('CALCULADORA TIPS E-6'!$F$10="10% (Medio Alto)",ROUND('Tabla de Amortizacion'!L67,8),IF('CALCULADORA TIPS E-6'!$F$10="14% (Alto)",ROUND('Tabla de Amortizacion'!P67,8),IF('CALCULADORA TIPS E-6'!$F$10=20%,ROUND('Tabla de Amortizacion'!T67,8),ROUND('Tabla de Amortizacion'!X67,8))))))</f>
        <v>0.04074953</v>
      </c>
    </row>
    <row r="67" spans="1:4" ht="12.75">
      <c r="A67" s="153">
        <f aca="true" t="shared" si="2" ref="A67:A98">_XLL.FECHA.MES(A66,1)</f>
        <v>40350</v>
      </c>
      <c r="B67" s="154">
        <f>IF('CALCULADORA TIPS E-6'!$F$10="Contractual",ROUND('Tabla de Amortizacion'!B68,8),IF('CALCULADORA TIPS E-6'!$F$10="6% (Medio)",ROUND('Tabla de Amortizacion'!F68,8),IF('CALCULADORA TIPS E-6'!$F$10="10% (Medio Alto)",ROUND('Tabla de Amortizacion'!J68,8),IF('CALCULADORA TIPS E-6'!$F$10="14% (Alto)",ROUND('Tabla de Amortizacion'!N68,8),IF('CALCULADORA TIPS E-6'!$F$10=20%,ROUND('Tabla de Amortizacion'!R68,8),ROUND('Tabla de Amortizacion'!V68,8))))))</f>
        <v>0</v>
      </c>
      <c r="C67" s="154">
        <f>IF('CALCULADORA TIPS E-6'!$F$10="Contractual",ROUND('Tabla de Amortizacion'!C68,8),IF('CALCULADORA TIPS E-6'!$F$10="6% (Medio)",ROUND('Tabla de Amortizacion'!G68,8),IF('CALCULADORA TIPS E-6'!$F$10="10% (Medio Alto)",ROUND('Tabla de Amortizacion'!K68,8),IF('CALCULADORA TIPS E-6'!$F$10="14% (Alto)",ROUND('Tabla de Amortizacion'!O68,8),IF('CALCULADORA TIPS E-6'!$F$10=20%,ROUND('Tabla de Amortizacion'!S68,8),ROUND('Tabla de Amortizacion'!W68,8))))))</f>
        <v>0</v>
      </c>
      <c r="D67" s="154">
        <f>IF('CALCULADORA TIPS E-6'!$F$10="Contractual",ROUND('Tabla de Amortizacion'!D68,8),IF('CALCULADORA TIPS E-6'!$F$10="6% (Medio)",ROUND('Tabla de Amortizacion'!H68,8),IF('CALCULADORA TIPS E-6'!$F$10="10% (Medio Alto)",ROUND('Tabla de Amortizacion'!L68,8),IF('CALCULADORA TIPS E-6'!$F$10="14% (Alto)",ROUND('Tabla de Amortizacion'!P68,8),IF('CALCULADORA TIPS E-6'!$F$10=20%,ROUND('Tabla de Amortizacion'!T68,8),ROUND('Tabla de Amortizacion'!X68,8))))))</f>
        <v>0.0391136</v>
      </c>
    </row>
    <row r="68" spans="1:4" ht="12.75">
      <c r="A68" s="153">
        <f t="shared" si="2"/>
        <v>40380</v>
      </c>
      <c r="B68" s="154">
        <f>IF('CALCULADORA TIPS E-6'!$F$10="Contractual",ROUND('Tabla de Amortizacion'!B69,8),IF('CALCULADORA TIPS E-6'!$F$10="6% (Medio)",ROUND('Tabla de Amortizacion'!F69,8),IF('CALCULADORA TIPS E-6'!$F$10="10% (Medio Alto)",ROUND('Tabla de Amortizacion'!J69,8),IF('CALCULADORA TIPS E-6'!$F$10="14% (Alto)",ROUND('Tabla de Amortizacion'!N69,8),IF('CALCULADORA TIPS E-6'!$F$10=20%,ROUND('Tabla de Amortizacion'!R69,8),ROUND('Tabla de Amortizacion'!V69,8))))))</f>
        <v>0</v>
      </c>
      <c r="C68" s="154">
        <f>IF('CALCULADORA TIPS E-6'!$F$10="Contractual",ROUND('Tabla de Amortizacion'!C69,8),IF('CALCULADORA TIPS E-6'!$F$10="6% (Medio)",ROUND('Tabla de Amortizacion'!G69,8),IF('CALCULADORA TIPS E-6'!$F$10="10% (Medio Alto)",ROUND('Tabla de Amortizacion'!K69,8),IF('CALCULADORA TIPS E-6'!$F$10="14% (Alto)",ROUND('Tabla de Amortizacion'!O69,8),IF('CALCULADORA TIPS E-6'!$F$10=20%,ROUND('Tabla de Amortizacion'!S69,8),ROUND('Tabla de Amortizacion'!W69,8))))))</f>
        <v>0</v>
      </c>
      <c r="D68" s="154">
        <f>IF('CALCULADORA TIPS E-6'!$F$10="Contractual",ROUND('Tabla de Amortizacion'!D69,8),IF('CALCULADORA TIPS E-6'!$F$10="6% (Medio)",ROUND('Tabla de Amortizacion'!H69,8),IF('CALCULADORA TIPS E-6'!$F$10="10% (Medio Alto)",ROUND('Tabla de Amortizacion'!L69,8),IF('CALCULADORA TIPS E-6'!$F$10="14% (Alto)",ROUND('Tabla de Amortizacion'!P69,8),IF('CALCULADORA TIPS E-6'!$F$10=20%,ROUND('Tabla de Amortizacion'!T69,8),ROUND('Tabla de Amortizacion'!X69,8))))))</f>
        <v>0.03765663</v>
      </c>
    </row>
    <row r="69" spans="1:4" ht="12.75">
      <c r="A69" s="153">
        <f t="shared" si="2"/>
        <v>40411</v>
      </c>
      <c r="B69" s="154">
        <f>IF('CALCULADORA TIPS E-6'!$F$10="Contractual",ROUND('Tabla de Amortizacion'!B70,8),IF('CALCULADORA TIPS E-6'!$F$10="6% (Medio)",ROUND('Tabla de Amortizacion'!F70,8),IF('CALCULADORA TIPS E-6'!$F$10="10% (Medio Alto)",ROUND('Tabla de Amortizacion'!J70,8),IF('CALCULADORA TIPS E-6'!$F$10="14% (Alto)",ROUND('Tabla de Amortizacion'!N70,8),IF('CALCULADORA TIPS E-6'!$F$10=20%,ROUND('Tabla de Amortizacion'!R70,8),ROUND('Tabla de Amortizacion'!V70,8))))))</f>
        <v>0</v>
      </c>
      <c r="C69" s="154">
        <f>IF('CALCULADORA TIPS E-6'!$F$10="Contractual",ROUND('Tabla de Amortizacion'!C70,8),IF('CALCULADORA TIPS E-6'!$F$10="6% (Medio)",ROUND('Tabla de Amortizacion'!G70,8),IF('CALCULADORA TIPS E-6'!$F$10="10% (Medio Alto)",ROUND('Tabla de Amortizacion'!K70,8),IF('CALCULADORA TIPS E-6'!$F$10="14% (Alto)",ROUND('Tabla de Amortizacion'!O70,8),IF('CALCULADORA TIPS E-6'!$F$10=20%,ROUND('Tabla de Amortizacion'!S70,8),ROUND('Tabla de Amortizacion'!W70,8))))))</f>
        <v>0</v>
      </c>
      <c r="D69" s="154">
        <f>IF('CALCULADORA TIPS E-6'!$F$10="Contractual",ROUND('Tabla de Amortizacion'!D70,8),IF('CALCULADORA TIPS E-6'!$F$10="6% (Medio)",ROUND('Tabla de Amortizacion'!H70,8),IF('CALCULADORA TIPS E-6'!$F$10="10% (Medio Alto)",ROUND('Tabla de Amortizacion'!L70,8),IF('CALCULADORA TIPS E-6'!$F$10="14% (Alto)",ROUND('Tabla de Amortizacion'!P70,8),IF('CALCULADORA TIPS E-6'!$F$10=20%,ROUND('Tabla de Amortizacion'!T70,8),ROUND('Tabla de Amortizacion'!X70,8))))))</f>
        <v>0.04418616</v>
      </c>
    </row>
    <row r="70" spans="1:4" ht="12.75">
      <c r="A70" s="153">
        <f t="shared" si="2"/>
        <v>40442</v>
      </c>
      <c r="B70" s="154">
        <f>IF('CALCULADORA TIPS E-6'!$F$10="Contractual",ROUND('Tabla de Amortizacion'!B71,8),IF('CALCULADORA TIPS E-6'!$F$10="6% (Medio)",ROUND('Tabla de Amortizacion'!F71,8),IF('CALCULADORA TIPS E-6'!$F$10="10% (Medio Alto)",ROUND('Tabla de Amortizacion'!J71,8),IF('CALCULADORA TIPS E-6'!$F$10="14% (Alto)",ROUND('Tabla de Amortizacion'!N71,8),IF('CALCULADORA TIPS E-6'!$F$10=20%,ROUND('Tabla de Amortizacion'!R71,8),ROUND('Tabla de Amortizacion'!V71,8))))))</f>
        <v>0</v>
      </c>
      <c r="C70" s="154">
        <f>IF('CALCULADORA TIPS E-6'!$F$10="Contractual",ROUND('Tabla de Amortizacion'!C71,8),IF('CALCULADORA TIPS E-6'!$F$10="6% (Medio)",ROUND('Tabla de Amortizacion'!G71,8),IF('CALCULADORA TIPS E-6'!$F$10="10% (Medio Alto)",ROUND('Tabla de Amortizacion'!K71,8),IF('CALCULADORA TIPS E-6'!$F$10="14% (Alto)",ROUND('Tabla de Amortizacion'!O71,8),IF('CALCULADORA TIPS E-6'!$F$10=20%,ROUND('Tabla de Amortizacion'!S71,8),ROUND('Tabla de Amortizacion'!W71,8))))))</f>
        <v>0</v>
      </c>
      <c r="D70" s="154">
        <f>IF('CALCULADORA TIPS E-6'!$F$10="Contractual",ROUND('Tabla de Amortizacion'!D71,8),IF('CALCULADORA TIPS E-6'!$F$10="6% (Medio)",ROUND('Tabla de Amortizacion'!H71,8),IF('CALCULADORA TIPS E-6'!$F$10="10% (Medio Alto)",ROUND('Tabla de Amortizacion'!L71,8),IF('CALCULADORA TIPS E-6'!$F$10="14% (Alto)",ROUND('Tabla de Amortizacion'!P71,8),IF('CALCULADORA TIPS E-6'!$F$10=20%,ROUND('Tabla de Amortizacion'!T71,8),ROUND('Tabla de Amortizacion'!X71,8))))))</f>
        <v>0.03608306</v>
      </c>
    </row>
    <row r="71" spans="1:4" ht="12.75">
      <c r="A71" s="153">
        <f t="shared" si="2"/>
        <v>40472</v>
      </c>
      <c r="B71" s="154">
        <f>IF('CALCULADORA TIPS E-6'!$F$10="Contractual",ROUND('Tabla de Amortizacion'!B72,8),IF('CALCULADORA TIPS E-6'!$F$10="6% (Medio)",ROUND('Tabla de Amortizacion'!F72,8),IF('CALCULADORA TIPS E-6'!$F$10="10% (Medio Alto)",ROUND('Tabla de Amortizacion'!J72,8),IF('CALCULADORA TIPS E-6'!$F$10="14% (Alto)",ROUND('Tabla de Amortizacion'!N72,8),IF('CALCULADORA TIPS E-6'!$F$10=20%,ROUND('Tabla de Amortizacion'!R72,8),ROUND('Tabla de Amortizacion'!V72,8))))))</f>
        <v>0</v>
      </c>
      <c r="C71" s="154">
        <f>IF('CALCULADORA TIPS E-6'!$F$10="Contractual",ROUND('Tabla de Amortizacion'!C72,8),IF('CALCULADORA TIPS E-6'!$F$10="6% (Medio)",ROUND('Tabla de Amortizacion'!G72,8),IF('CALCULADORA TIPS E-6'!$F$10="10% (Medio Alto)",ROUND('Tabla de Amortizacion'!K72,8),IF('CALCULADORA TIPS E-6'!$F$10="14% (Alto)",ROUND('Tabla de Amortizacion'!O72,8),IF('CALCULADORA TIPS E-6'!$F$10=20%,ROUND('Tabla de Amortizacion'!S72,8),ROUND('Tabla de Amortizacion'!W72,8))))))</f>
        <v>0</v>
      </c>
      <c r="D71" s="154">
        <f>IF('CALCULADORA TIPS E-6'!$F$10="Contractual",ROUND('Tabla de Amortizacion'!D72,8),IF('CALCULADORA TIPS E-6'!$F$10="6% (Medio)",ROUND('Tabla de Amortizacion'!H72,8),IF('CALCULADORA TIPS E-6'!$F$10="10% (Medio Alto)",ROUND('Tabla de Amortizacion'!L72,8),IF('CALCULADORA TIPS E-6'!$F$10="14% (Alto)",ROUND('Tabla de Amortizacion'!P72,8),IF('CALCULADORA TIPS E-6'!$F$10=20%,ROUND('Tabla de Amortizacion'!T72,8),ROUND('Tabla de Amortizacion'!X72,8))))))</f>
        <v>0.04175247</v>
      </c>
    </row>
    <row r="72" spans="1:4" ht="12.75">
      <c r="A72" s="153">
        <f t="shared" si="2"/>
        <v>40503</v>
      </c>
      <c r="B72" s="154">
        <f>IF('CALCULADORA TIPS E-6'!$F$10="Contractual",ROUND('Tabla de Amortizacion'!B73,8),IF('CALCULADORA TIPS E-6'!$F$10="6% (Medio)",ROUND('Tabla de Amortizacion'!F73,8),IF('CALCULADORA TIPS E-6'!$F$10="10% (Medio Alto)",ROUND('Tabla de Amortizacion'!J73,8),IF('CALCULADORA TIPS E-6'!$F$10="14% (Alto)",ROUND('Tabla de Amortizacion'!N73,8),IF('CALCULADORA TIPS E-6'!$F$10=20%,ROUND('Tabla de Amortizacion'!R73,8),ROUND('Tabla de Amortizacion'!V73,8))))))</f>
        <v>0</v>
      </c>
      <c r="C72" s="154">
        <f>IF('CALCULADORA TIPS E-6'!$F$10="Contractual",ROUND('Tabla de Amortizacion'!C73,8),IF('CALCULADORA TIPS E-6'!$F$10="6% (Medio)",ROUND('Tabla de Amortizacion'!G73,8),IF('CALCULADORA TIPS E-6'!$F$10="10% (Medio Alto)",ROUND('Tabla de Amortizacion'!K73,8),IF('CALCULADORA TIPS E-6'!$F$10="14% (Alto)",ROUND('Tabla de Amortizacion'!O73,8),IF('CALCULADORA TIPS E-6'!$F$10=20%,ROUND('Tabla de Amortizacion'!S73,8),ROUND('Tabla de Amortizacion'!W73,8))))))</f>
        <v>0</v>
      </c>
      <c r="D72" s="154">
        <f>IF('CALCULADORA TIPS E-6'!$F$10="Contractual",ROUND('Tabla de Amortizacion'!D73,8),IF('CALCULADORA TIPS E-6'!$F$10="6% (Medio)",ROUND('Tabla de Amortizacion'!H73,8),IF('CALCULADORA TIPS E-6'!$F$10="10% (Medio Alto)",ROUND('Tabla de Amortizacion'!L73,8),IF('CALCULADORA TIPS E-6'!$F$10="14% (Alto)",ROUND('Tabla de Amortizacion'!P73,8),IF('CALCULADORA TIPS E-6'!$F$10=20%,ROUND('Tabla de Amortizacion'!T73,8),ROUND('Tabla de Amortizacion'!X73,8))))))</f>
        <v>0.03866279</v>
      </c>
    </row>
    <row r="73" spans="1:4" ht="12.75">
      <c r="A73" s="153">
        <f t="shared" si="2"/>
        <v>40533</v>
      </c>
      <c r="B73" s="154">
        <f>IF('CALCULADORA TIPS E-6'!$F$10="Contractual",ROUND('Tabla de Amortizacion'!B74,8),IF('CALCULADORA TIPS E-6'!$F$10="6% (Medio)",ROUND('Tabla de Amortizacion'!F74,8),IF('CALCULADORA TIPS E-6'!$F$10="10% (Medio Alto)",ROUND('Tabla de Amortizacion'!J74,8),IF('CALCULADORA TIPS E-6'!$F$10="14% (Alto)",ROUND('Tabla de Amortizacion'!N74,8),IF('CALCULADORA TIPS E-6'!$F$10=20%,ROUND('Tabla de Amortizacion'!R74,8),ROUND('Tabla de Amortizacion'!V74,8))))))</f>
        <v>0</v>
      </c>
      <c r="C73" s="154">
        <f>IF('CALCULADORA TIPS E-6'!$F$10="Contractual",ROUND('Tabla de Amortizacion'!C74,8),IF('CALCULADORA TIPS E-6'!$F$10="6% (Medio)",ROUND('Tabla de Amortizacion'!G74,8),IF('CALCULADORA TIPS E-6'!$F$10="10% (Medio Alto)",ROUND('Tabla de Amortizacion'!K74,8),IF('CALCULADORA TIPS E-6'!$F$10="14% (Alto)",ROUND('Tabla de Amortizacion'!O74,8),IF('CALCULADORA TIPS E-6'!$F$10=20%,ROUND('Tabla de Amortizacion'!S74,8),ROUND('Tabla de Amortizacion'!W74,8))))))</f>
        <v>0</v>
      </c>
      <c r="D73" s="154">
        <f>IF('CALCULADORA TIPS E-6'!$F$10="Contractual",ROUND('Tabla de Amortizacion'!D74,8),IF('CALCULADORA TIPS E-6'!$F$10="6% (Medio)",ROUND('Tabla de Amortizacion'!H74,8),IF('CALCULADORA TIPS E-6'!$F$10="10% (Medio Alto)",ROUND('Tabla de Amortizacion'!L74,8),IF('CALCULADORA TIPS E-6'!$F$10="14% (Alto)",ROUND('Tabla de Amortizacion'!P74,8),IF('CALCULADORA TIPS E-6'!$F$10=20%,ROUND('Tabla de Amortizacion'!T74,8),ROUND('Tabla de Amortizacion'!X74,8))))))</f>
        <v>0.03466053</v>
      </c>
    </row>
    <row r="74" spans="1:4" ht="12.75">
      <c r="A74" s="153">
        <f t="shared" si="2"/>
        <v>40564</v>
      </c>
      <c r="B74" s="154">
        <f>IF('CALCULADORA TIPS E-6'!$F$10="Contractual",ROUND('Tabla de Amortizacion'!B75,8),IF('CALCULADORA TIPS E-6'!$F$10="6% (Medio)",ROUND('Tabla de Amortizacion'!F75,8),IF('CALCULADORA TIPS E-6'!$F$10="10% (Medio Alto)",ROUND('Tabla de Amortizacion'!J75,8),IF('CALCULADORA TIPS E-6'!$F$10="14% (Alto)",ROUND('Tabla de Amortizacion'!N75,8),IF('CALCULADORA TIPS E-6'!$F$10=20%,ROUND('Tabla de Amortizacion'!R75,8),ROUND('Tabla de Amortizacion'!V75,8))))))</f>
        <v>0</v>
      </c>
      <c r="C74" s="154">
        <f>IF('CALCULADORA TIPS E-6'!$F$10="Contractual",ROUND('Tabla de Amortizacion'!C75,8),IF('CALCULADORA TIPS E-6'!$F$10="6% (Medio)",ROUND('Tabla de Amortizacion'!G75,8),IF('CALCULADORA TIPS E-6'!$F$10="10% (Medio Alto)",ROUND('Tabla de Amortizacion'!K75,8),IF('CALCULADORA TIPS E-6'!$F$10="14% (Alto)",ROUND('Tabla de Amortizacion'!O75,8),IF('CALCULADORA TIPS E-6'!$F$10=20%,ROUND('Tabla de Amortizacion'!S75,8),ROUND('Tabla de Amortizacion'!W75,8))))))</f>
        <v>0</v>
      </c>
      <c r="D74" s="154">
        <f>IF('CALCULADORA TIPS E-6'!$F$10="Contractual",ROUND('Tabla de Amortizacion'!D75,8),IF('CALCULADORA TIPS E-6'!$F$10="6% (Medio)",ROUND('Tabla de Amortizacion'!H75,8),IF('CALCULADORA TIPS E-6'!$F$10="10% (Medio Alto)",ROUND('Tabla de Amortizacion'!L75,8),IF('CALCULADORA TIPS E-6'!$F$10="14% (Alto)",ROUND('Tabla de Amortizacion'!P75,8),IF('CALCULADORA TIPS E-6'!$F$10=20%,ROUND('Tabla de Amortizacion'!T75,8),ROUND('Tabla de Amortizacion'!X75,8))))))</f>
        <v>0.03382013</v>
      </c>
    </row>
    <row r="75" spans="1:4" ht="12.75">
      <c r="A75" s="153">
        <f t="shared" si="2"/>
        <v>40595</v>
      </c>
      <c r="B75" s="154">
        <f>IF('CALCULADORA TIPS E-6'!$F$10="Contractual",ROUND('Tabla de Amortizacion'!B76,8),IF('CALCULADORA TIPS E-6'!$F$10="6% (Medio)",ROUND('Tabla de Amortizacion'!F76,8),IF('CALCULADORA TIPS E-6'!$F$10="10% (Medio Alto)",ROUND('Tabla de Amortizacion'!J76,8),IF('CALCULADORA TIPS E-6'!$F$10="14% (Alto)",ROUND('Tabla de Amortizacion'!N76,8),IF('CALCULADORA TIPS E-6'!$F$10=20%,ROUND('Tabla de Amortizacion'!R76,8),ROUND('Tabla de Amortizacion'!V76,8))))))</f>
        <v>0</v>
      </c>
      <c r="C75" s="154">
        <f>IF('CALCULADORA TIPS E-6'!$F$10="Contractual",ROUND('Tabla de Amortizacion'!C76,8),IF('CALCULADORA TIPS E-6'!$F$10="6% (Medio)",ROUND('Tabla de Amortizacion'!G76,8),IF('CALCULADORA TIPS E-6'!$F$10="10% (Medio Alto)",ROUND('Tabla de Amortizacion'!K76,8),IF('CALCULADORA TIPS E-6'!$F$10="14% (Alto)",ROUND('Tabla de Amortizacion'!O76,8),IF('CALCULADORA TIPS E-6'!$F$10=20%,ROUND('Tabla de Amortizacion'!S76,8),ROUND('Tabla de Amortizacion'!W76,8))))))</f>
        <v>0</v>
      </c>
      <c r="D75" s="154">
        <f>IF('CALCULADORA TIPS E-6'!$F$10="Contractual",ROUND('Tabla de Amortizacion'!D76,8),IF('CALCULADORA TIPS E-6'!$F$10="6% (Medio)",ROUND('Tabla de Amortizacion'!H76,8),IF('CALCULADORA TIPS E-6'!$F$10="10% (Medio Alto)",ROUND('Tabla de Amortizacion'!L76,8),IF('CALCULADORA TIPS E-6'!$F$10="14% (Alto)",ROUND('Tabla de Amortizacion'!P76,8),IF('CALCULADORA TIPS E-6'!$F$10=20%,ROUND('Tabla de Amortizacion'!T76,8),ROUND('Tabla de Amortizacion'!X76,8))))))</f>
        <v>0.03160331</v>
      </c>
    </row>
    <row r="76" spans="1:4" ht="12.75">
      <c r="A76" s="153">
        <f t="shared" si="2"/>
        <v>40623</v>
      </c>
      <c r="B76" s="154">
        <f>IF('CALCULADORA TIPS E-6'!$F$10="Contractual",ROUND('Tabla de Amortizacion'!B77,8),IF('CALCULADORA TIPS E-6'!$F$10="6% (Medio)",ROUND('Tabla de Amortizacion'!F77,8),IF('CALCULADORA TIPS E-6'!$F$10="10% (Medio Alto)",ROUND('Tabla de Amortizacion'!J77,8),IF('CALCULADORA TIPS E-6'!$F$10="14% (Alto)",ROUND('Tabla de Amortizacion'!N77,8),IF('CALCULADORA TIPS E-6'!$F$10=20%,ROUND('Tabla de Amortizacion'!R77,8),ROUND('Tabla de Amortizacion'!V77,8))))))</f>
        <v>0</v>
      </c>
      <c r="C76" s="154">
        <f>IF('CALCULADORA TIPS E-6'!$F$10="Contractual",ROUND('Tabla de Amortizacion'!C77,8),IF('CALCULADORA TIPS E-6'!$F$10="6% (Medio)",ROUND('Tabla de Amortizacion'!G77,8),IF('CALCULADORA TIPS E-6'!$F$10="10% (Medio Alto)",ROUND('Tabla de Amortizacion'!K77,8),IF('CALCULADORA TIPS E-6'!$F$10="14% (Alto)",ROUND('Tabla de Amortizacion'!O77,8),IF('CALCULADORA TIPS E-6'!$F$10=20%,ROUND('Tabla de Amortizacion'!S77,8),ROUND('Tabla de Amortizacion'!W77,8))))))</f>
        <v>0</v>
      </c>
      <c r="D76" s="154">
        <f>IF('CALCULADORA TIPS E-6'!$F$10="Contractual",ROUND('Tabla de Amortizacion'!D77,8),IF('CALCULADORA TIPS E-6'!$F$10="6% (Medio)",ROUND('Tabla de Amortizacion'!H77,8),IF('CALCULADORA TIPS E-6'!$F$10="10% (Medio Alto)",ROUND('Tabla de Amortizacion'!L77,8),IF('CALCULADORA TIPS E-6'!$F$10="14% (Alto)",ROUND('Tabla de Amortizacion'!P77,8),IF('CALCULADORA TIPS E-6'!$F$10=20%,ROUND('Tabla de Amortizacion'!T77,8),ROUND('Tabla de Amortizacion'!X77,8))))))</f>
        <v>0.03711363</v>
      </c>
    </row>
    <row r="77" spans="1:4" ht="12.75">
      <c r="A77" s="153">
        <f t="shared" si="2"/>
        <v>40654</v>
      </c>
      <c r="B77" s="154">
        <f>IF('CALCULADORA TIPS E-6'!$F$10="Contractual",ROUND('Tabla de Amortizacion'!B78,8),IF('CALCULADORA TIPS E-6'!$F$10="6% (Medio)",ROUND('Tabla de Amortizacion'!F78,8),IF('CALCULADORA TIPS E-6'!$F$10="10% (Medio Alto)",ROUND('Tabla de Amortizacion'!J78,8),IF('CALCULADORA TIPS E-6'!$F$10="14% (Alto)",ROUND('Tabla de Amortizacion'!N78,8),IF('CALCULADORA TIPS E-6'!$F$10=20%,ROUND('Tabla de Amortizacion'!R78,8),ROUND('Tabla de Amortizacion'!V78,8))))))</f>
        <v>0</v>
      </c>
      <c r="C77" s="154">
        <f>IF('CALCULADORA TIPS E-6'!$F$10="Contractual",ROUND('Tabla de Amortizacion'!C78,8),IF('CALCULADORA TIPS E-6'!$F$10="6% (Medio)",ROUND('Tabla de Amortizacion'!G78,8),IF('CALCULADORA TIPS E-6'!$F$10="10% (Medio Alto)",ROUND('Tabla de Amortizacion'!K78,8),IF('CALCULADORA TIPS E-6'!$F$10="14% (Alto)",ROUND('Tabla de Amortizacion'!O78,8),IF('CALCULADORA TIPS E-6'!$F$10=20%,ROUND('Tabla de Amortizacion'!S78,8),ROUND('Tabla de Amortizacion'!W78,8))))))</f>
        <v>0</v>
      </c>
      <c r="D77" s="154">
        <f>IF('CALCULADORA TIPS E-6'!$F$10="Contractual",ROUND('Tabla de Amortizacion'!D78,8),IF('CALCULADORA TIPS E-6'!$F$10="6% (Medio)",ROUND('Tabla de Amortizacion'!H78,8),IF('CALCULADORA TIPS E-6'!$F$10="10% (Medio Alto)",ROUND('Tabla de Amortizacion'!L78,8),IF('CALCULADORA TIPS E-6'!$F$10="14% (Alto)",ROUND('Tabla de Amortizacion'!P78,8),IF('CALCULADORA TIPS E-6'!$F$10=20%,ROUND('Tabla de Amortizacion'!T78,8),ROUND('Tabla de Amortizacion'!X78,8))))))</f>
        <v>0.03689635</v>
      </c>
    </row>
    <row r="78" spans="1:4" ht="12.75">
      <c r="A78" s="153">
        <f t="shared" si="2"/>
        <v>40684</v>
      </c>
      <c r="B78" s="154">
        <f>IF('CALCULADORA TIPS E-6'!$F$10="Contractual",ROUND('Tabla de Amortizacion'!B79,8),IF('CALCULADORA TIPS E-6'!$F$10="6% (Medio)",ROUND('Tabla de Amortizacion'!F79,8),IF('CALCULADORA TIPS E-6'!$F$10="10% (Medio Alto)",ROUND('Tabla de Amortizacion'!J79,8),IF('CALCULADORA TIPS E-6'!$F$10="14% (Alto)",ROUND('Tabla de Amortizacion'!N79,8),IF('CALCULADORA TIPS E-6'!$F$10=20%,ROUND('Tabla de Amortizacion'!R79,8),ROUND('Tabla de Amortizacion'!V79,8))))))</f>
        <v>0</v>
      </c>
      <c r="C78" s="154">
        <f>IF('CALCULADORA TIPS E-6'!$F$10="Contractual",ROUND('Tabla de Amortizacion'!C79,8),IF('CALCULADORA TIPS E-6'!$F$10="6% (Medio)",ROUND('Tabla de Amortizacion'!G79,8),IF('CALCULADORA TIPS E-6'!$F$10="10% (Medio Alto)",ROUND('Tabla de Amortizacion'!K79,8),IF('CALCULADORA TIPS E-6'!$F$10="14% (Alto)",ROUND('Tabla de Amortizacion'!O79,8),IF('CALCULADORA TIPS E-6'!$F$10=20%,ROUND('Tabla de Amortizacion'!S79,8),ROUND('Tabla de Amortizacion'!W79,8))))))</f>
        <v>0</v>
      </c>
      <c r="D78" s="154">
        <f>IF('CALCULADORA TIPS E-6'!$F$10="Contractual",ROUND('Tabla de Amortizacion'!D79,8),IF('CALCULADORA TIPS E-6'!$F$10="6% (Medio)",ROUND('Tabla de Amortizacion'!H79,8),IF('CALCULADORA TIPS E-6'!$F$10="10% (Medio Alto)",ROUND('Tabla de Amortizacion'!L79,8),IF('CALCULADORA TIPS E-6'!$F$10="14% (Alto)",ROUND('Tabla de Amortizacion'!P79,8),IF('CALCULADORA TIPS E-6'!$F$10=20%,ROUND('Tabla de Amortizacion'!T79,8),ROUND('Tabla de Amortizacion'!X79,8))))))</f>
        <v>0.02961467</v>
      </c>
    </row>
    <row r="79" spans="1:4" ht="12.75">
      <c r="A79" s="153">
        <f t="shared" si="2"/>
        <v>40715</v>
      </c>
      <c r="B79" s="154">
        <f>IF('CALCULADORA TIPS E-6'!$F$10="Contractual",ROUND('Tabla de Amortizacion'!B80,8),IF('CALCULADORA TIPS E-6'!$F$10="6% (Medio)",ROUND('Tabla de Amortizacion'!F80,8),IF('CALCULADORA TIPS E-6'!$F$10="10% (Medio Alto)",ROUND('Tabla de Amortizacion'!J80,8),IF('CALCULADORA TIPS E-6'!$F$10="14% (Alto)",ROUND('Tabla de Amortizacion'!N80,8),IF('CALCULADORA TIPS E-6'!$F$10=20%,ROUND('Tabla de Amortizacion'!R80,8),ROUND('Tabla de Amortizacion'!V80,8))))))</f>
        <v>0</v>
      </c>
      <c r="C79" s="154">
        <f>IF('CALCULADORA TIPS E-6'!$F$10="Contractual",ROUND('Tabla de Amortizacion'!C80,8),IF('CALCULADORA TIPS E-6'!$F$10="6% (Medio)",ROUND('Tabla de Amortizacion'!G80,8),IF('CALCULADORA TIPS E-6'!$F$10="10% (Medio Alto)",ROUND('Tabla de Amortizacion'!K80,8),IF('CALCULADORA TIPS E-6'!$F$10="14% (Alto)",ROUND('Tabla de Amortizacion'!O80,8),IF('CALCULADORA TIPS E-6'!$F$10=20%,ROUND('Tabla de Amortizacion'!S80,8),ROUND('Tabla de Amortizacion'!W80,8))))))</f>
        <v>0</v>
      </c>
      <c r="D79" s="154">
        <f>IF('CALCULADORA TIPS E-6'!$F$10="Contractual",ROUND('Tabla de Amortizacion'!D80,8),IF('CALCULADORA TIPS E-6'!$F$10="6% (Medio)",ROUND('Tabla de Amortizacion'!H80,8),IF('CALCULADORA TIPS E-6'!$F$10="10% (Medio Alto)",ROUND('Tabla de Amortizacion'!L80,8),IF('CALCULADORA TIPS E-6'!$F$10="14% (Alto)",ROUND('Tabla de Amortizacion'!P80,8),IF('CALCULADORA TIPS E-6'!$F$10=20%,ROUND('Tabla de Amortizacion'!T80,8),ROUND('Tabla de Amortizacion'!X80,8))))))</f>
        <v>0.03459432</v>
      </c>
    </row>
    <row r="80" spans="1:4" ht="12.75">
      <c r="A80" s="153">
        <f t="shared" si="2"/>
        <v>40745</v>
      </c>
      <c r="B80" s="154">
        <f>IF('CALCULADORA TIPS E-6'!$F$10="Contractual",ROUND('Tabla de Amortizacion'!B81,8),IF('CALCULADORA TIPS E-6'!$F$10="6% (Medio)",ROUND('Tabla de Amortizacion'!F81,8),IF('CALCULADORA TIPS E-6'!$F$10="10% (Medio Alto)",ROUND('Tabla de Amortizacion'!J81,8),IF('CALCULADORA TIPS E-6'!$F$10="14% (Alto)",ROUND('Tabla de Amortizacion'!N81,8),IF('CALCULADORA TIPS E-6'!$F$10=20%,ROUND('Tabla de Amortizacion'!R81,8),ROUND('Tabla de Amortizacion'!V81,8))))))</f>
        <v>0</v>
      </c>
      <c r="C80" s="154">
        <f>IF('CALCULADORA TIPS E-6'!$F$10="Contractual",ROUND('Tabla de Amortizacion'!C81,8),IF('CALCULADORA TIPS E-6'!$F$10="6% (Medio)",ROUND('Tabla de Amortizacion'!G81,8),IF('CALCULADORA TIPS E-6'!$F$10="10% (Medio Alto)",ROUND('Tabla de Amortizacion'!K81,8),IF('CALCULADORA TIPS E-6'!$F$10="14% (Alto)",ROUND('Tabla de Amortizacion'!O81,8),IF('CALCULADORA TIPS E-6'!$F$10=20%,ROUND('Tabla de Amortizacion'!S81,8),ROUND('Tabla de Amortizacion'!W81,8))))))</f>
        <v>0</v>
      </c>
      <c r="D80" s="154">
        <f>IF('CALCULADORA TIPS E-6'!$F$10="Contractual",ROUND('Tabla de Amortizacion'!D81,8),IF('CALCULADORA TIPS E-6'!$F$10="6% (Medio)",ROUND('Tabla de Amortizacion'!H81,8),IF('CALCULADORA TIPS E-6'!$F$10="10% (Medio Alto)",ROUND('Tabla de Amortizacion'!L81,8),IF('CALCULADORA TIPS E-6'!$F$10="14% (Alto)",ROUND('Tabla de Amortizacion'!P81,8),IF('CALCULADORA TIPS E-6'!$F$10=20%,ROUND('Tabla de Amortizacion'!T81,8),ROUND('Tabla de Amortizacion'!X81,8))))))</f>
        <v>0.03654468</v>
      </c>
    </row>
    <row r="81" spans="1:4" ht="12.75">
      <c r="A81" s="153">
        <f t="shared" si="2"/>
        <v>40776</v>
      </c>
      <c r="B81" s="154">
        <f>IF('CALCULADORA TIPS E-6'!$F$10="Contractual",ROUND('Tabla de Amortizacion'!B82,8),IF('CALCULADORA TIPS E-6'!$F$10="6% (Medio)",ROUND('Tabla de Amortizacion'!F82,8),IF('CALCULADORA TIPS E-6'!$F$10="10% (Medio Alto)",ROUND('Tabla de Amortizacion'!J82,8),IF('CALCULADORA TIPS E-6'!$F$10="14% (Alto)",ROUND('Tabla de Amortizacion'!N82,8),IF('CALCULADORA TIPS E-6'!$F$10=20%,ROUND('Tabla de Amortizacion'!R82,8),ROUND('Tabla de Amortizacion'!V82,8))))))</f>
        <v>0</v>
      </c>
      <c r="C81" s="154">
        <f>IF('CALCULADORA TIPS E-6'!$F$10="Contractual",ROUND('Tabla de Amortizacion'!C82,8),IF('CALCULADORA TIPS E-6'!$F$10="6% (Medio)",ROUND('Tabla de Amortizacion'!G82,8),IF('CALCULADORA TIPS E-6'!$F$10="10% (Medio Alto)",ROUND('Tabla de Amortizacion'!K82,8),IF('CALCULADORA TIPS E-6'!$F$10="14% (Alto)",ROUND('Tabla de Amortizacion'!O82,8),IF('CALCULADORA TIPS E-6'!$F$10=20%,ROUND('Tabla de Amortizacion'!S82,8),ROUND('Tabla de Amortizacion'!W82,8))))))</f>
        <v>0</v>
      </c>
      <c r="D81" s="154">
        <f>IF('CALCULADORA TIPS E-6'!$F$10="Contractual",ROUND('Tabla de Amortizacion'!D82,8),IF('CALCULADORA TIPS E-6'!$F$10="6% (Medio)",ROUND('Tabla de Amortizacion'!H82,8),IF('CALCULADORA TIPS E-6'!$F$10="10% (Medio Alto)",ROUND('Tabla de Amortizacion'!L82,8),IF('CALCULADORA TIPS E-6'!$F$10="14% (Alto)",ROUND('Tabla de Amortizacion'!P82,8),IF('CALCULADORA TIPS E-6'!$F$10=20%,ROUND('Tabla de Amortizacion'!T82,8),ROUND('Tabla de Amortizacion'!X82,8))))))</f>
        <v>0.0183542</v>
      </c>
    </row>
    <row r="82" spans="1:4" ht="12.75">
      <c r="A82" s="153">
        <f t="shared" si="2"/>
        <v>40807</v>
      </c>
      <c r="B82" s="154">
        <f>IF('CALCULADORA TIPS E-6'!$F$10="Contractual",ROUND('Tabla de Amortizacion'!B83,8),IF('CALCULADORA TIPS E-6'!$F$10="6% (Medio)",ROUND('Tabla de Amortizacion'!F83,8),IF('CALCULADORA TIPS E-6'!$F$10="10% (Medio Alto)",ROUND('Tabla de Amortizacion'!J83,8),IF('CALCULADORA TIPS E-6'!$F$10="14% (Alto)",ROUND('Tabla de Amortizacion'!N83,8),IF('CALCULADORA TIPS E-6'!$F$10=20%,ROUND('Tabla de Amortizacion'!R83,8),ROUND('Tabla de Amortizacion'!V83,8))))))</f>
        <v>0</v>
      </c>
      <c r="C82" s="154">
        <f>IF('CALCULADORA TIPS E-6'!$F$10="Contractual",ROUND('Tabla de Amortizacion'!C83,8),IF('CALCULADORA TIPS E-6'!$F$10="6% (Medio)",ROUND('Tabla de Amortizacion'!G83,8),IF('CALCULADORA TIPS E-6'!$F$10="10% (Medio Alto)",ROUND('Tabla de Amortizacion'!K83,8),IF('CALCULADORA TIPS E-6'!$F$10="14% (Alto)",ROUND('Tabla de Amortizacion'!O83,8),IF('CALCULADORA TIPS E-6'!$F$10=20%,ROUND('Tabla de Amortizacion'!S83,8),ROUND('Tabla de Amortizacion'!W83,8))))))</f>
        <v>0</v>
      </c>
      <c r="D82" s="154">
        <f>IF('CALCULADORA TIPS E-6'!$F$10="Contractual",ROUND('Tabla de Amortizacion'!D83,8),IF('CALCULADORA TIPS E-6'!$F$10="6% (Medio)",ROUND('Tabla de Amortizacion'!H83,8),IF('CALCULADORA TIPS E-6'!$F$10="10% (Medio Alto)",ROUND('Tabla de Amortizacion'!L83,8),IF('CALCULADORA TIPS E-6'!$F$10="14% (Alto)",ROUND('Tabla de Amortizacion'!P83,8),IF('CALCULADORA TIPS E-6'!$F$10=20%,ROUND('Tabla de Amortizacion'!T83,8),ROUND('Tabla de Amortizacion'!X83,8))))))</f>
        <v>0</v>
      </c>
    </row>
    <row r="83" spans="1:4" ht="12.75">
      <c r="A83" s="153">
        <f t="shared" si="2"/>
        <v>40837</v>
      </c>
      <c r="B83" s="154">
        <f>IF('CALCULADORA TIPS E-6'!$F$10="Contractual",ROUND('Tabla de Amortizacion'!B84,8),IF('CALCULADORA TIPS E-6'!$F$10="6% (Medio)",ROUND('Tabla de Amortizacion'!F84,8),IF('CALCULADORA TIPS E-6'!$F$10="10% (Medio Alto)",ROUND('Tabla de Amortizacion'!J84,8),IF('CALCULADORA TIPS E-6'!$F$10="14% (Alto)",ROUND('Tabla de Amortizacion'!N84,8),IF('CALCULADORA TIPS E-6'!$F$10=20%,ROUND('Tabla de Amortizacion'!R84,8),ROUND('Tabla de Amortizacion'!V84,8))))))</f>
        <v>0</v>
      </c>
      <c r="C83" s="154">
        <f>IF('CALCULADORA TIPS E-6'!$F$10="Contractual",ROUND('Tabla de Amortizacion'!C84,8),IF('CALCULADORA TIPS E-6'!$F$10="6% (Medio)",ROUND('Tabla de Amortizacion'!G84,8),IF('CALCULADORA TIPS E-6'!$F$10="10% (Medio Alto)",ROUND('Tabla de Amortizacion'!K84,8),IF('CALCULADORA TIPS E-6'!$F$10="14% (Alto)",ROUND('Tabla de Amortizacion'!O84,8),IF('CALCULADORA TIPS E-6'!$F$10=20%,ROUND('Tabla de Amortizacion'!S84,8),ROUND('Tabla de Amortizacion'!W84,8))))))</f>
        <v>0</v>
      </c>
      <c r="D83" s="154">
        <f>IF('CALCULADORA TIPS E-6'!$F$10="Contractual",ROUND('Tabla de Amortizacion'!D84,8),IF('CALCULADORA TIPS E-6'!$F$10="6% (Medio)",ROUND('Tabla de Amortizacion'!H84,8),IF('CALCULADORA TIPS E-6'!$F$10="10% (Medio Alto)",ROUND('Tabla de Amortizacion'!L84,8),IF('CALCULADORA TIPS E-6'!$F$10="14% (Alto)",ROUND('Tabla de Amortizacion'!P84,8),IF('CALCULADORA TIPS E-6'!$F$10=20%,ROUND('Tabla de Amortizacion'!T84,8),ROUND('Tabla de Amortizacion'!X84,8))))))</f>
        <v>0</v>
      </c>
    </row>
    <row r="84" spans="1:4" ht="12.75">
      <c r="A84" s="153">
        <f t="shared" si="2"/>
        <v>40868</v>
      </c>
      <c r="B84" s="154">
        <f>IF('CALCULADORA TIPS E-6'!$F$10="Contractual",ROUND('Tabla de Amortizacion'!B85,8),IF('CALCULADORA TIPS E-6'!$F$10="6% (Medio)",ROUND('Tabla de Amortizacion'!F85,8),IF('CALCULADORA TIPS E-6'!$F$10="10% (Medio Alto)",ROUND('Tabla de Amortizacion'!J85,8),IF('CALCULADORA TIPS E-6'!$F$10="14% (Alto)",ROUND('Tabla de Amortizacion'!N85,8),IF('CALCULADORA TIPS E-6'!$F$10=20%,ROUND('Tabla de Amortizacion'!R85,8),ROUND('Tabla de Amortizacion'!V85,8))))))</f>
        <v>0</v>
      </c>
      <c r="C84" s="154">
        <f>IF('CALCULADORA TIPS E-6'!$F$10="Contractual",ROUND('Tabla de Amortizacion'!C85,8),IF('CALCULADORA TIPS E-6'!$F$10="6% (Medio)",ROUND('Tabla de Amortizacion'!G85,8),IF('CALCULADORA TIPS E-6'!$F$10="10% (Medio Alto)",ROUND('Tabla de Amortizacion'!K85,8),IF('CALCULADORA TIPS E-6'!$F$10="14% (Alto)",ROUND('Tabla de Amortizacion'!O85,8),IF('CALCULADORA TIPS E-6'!$F$10=20%,ROUND('Tabla de Amortizacion'!S85,8),ROUND('Tabla de Amortizacion'!W85,8))))))</f>
        <v>0</v>
      </c>
      <c r="D84" s="154">
        <f>IF('CALCULADORA TIPS E-6'!$F$10="Contractual",ROUND('Tabla de Amortizacion'!D85,8),IF('CALCULADORA TIPS E-6'!$F$10="6% (Medio)",ROUND('Tabla de Amortizacion'!H85,8),IF('CALCULADORA TIPS E-6'!$F$10="10% (Medio Alto)",ROUND('Tabla de Amortizacion'!L85,8),IF('CALCULADORA TIPS E-6'!$F$10="14% (Alto)",ROUND('Tabla de Amortizacion'!P85,8),IF('CALCULADORA TIPS E-6'!$F$10=20%,ROUND('Tabla de Amortizacion'!T85,8),ROUND('Tabla de Amortizacion'!X85,8))))))</f>
        <v>0</v>
      </c>
    </row>
    <row r="85" spans="1:4" ht="12.75">
      <c r="A85" s="153">
        <f t="shared" si="2"/>
        <v>40898</v>
      </c>
      <c r="B85" s="154">
        <f>IF('CALCULADORA TIPS E-6'!$F$10="Contractual",ROUND('Tabla de Amortizacion'!B86,8),IF('CALCULADORA TIPS E-6'!$F$10="6% (Medio)",ROUND('Tabla de Amortizacion'!F86,8),IF('CALCULADORA TIPS E-6'!$F$10="10% (Medio Alto)",ROUND('Tabla de Amortizacion'!J86,8),IF('CALCULADORA TIPS E-6'!$F$10="14% (Alto)",ROUND('Tabla de Amortizacion'!N86,8),IF('CALCULADORA TIPS E-6'!$F$10=20%,ROUND('Tabla de Amortizacion'!R86,8),ROUND('Tabla de Amortizacion'!V86,8))))))</f>
        <v>0</v>
      </c>
      <c r="C85" s="154">
        <f>IF('CALCULADORA TIPS E-6'!$F$10="Contractual",ROUND('Tabla de Amortizacion'!C86,8),IF('CALCULADORA TIPS E-6'!$F$10="6% (Medio)",ROUND('Tabla de Amortizacion'!G86,8),IF('CALCULADORA TIPS E-6'!$F$10="10% (Medio Alto)",ROUND('Tabla de Amortizacion'!K86,8),IF('CALCULADORA TIPS E-6'!$F$10="14% (Alto)",ROUND('Tabla de Amortizacion'!O86,8),IF('CALCULADORA TIPS E-6'!$F$10=20%,ROUND('Tabla de Amortizacion'!S86,8),ROUND('Tabla de Amortizacion'!W86,8))))))</f>
        <v>0</v>
      </c>
      <c r="D85" s="154">
        <f>IF('CALCULADORA TIPS E-6'!$F$10="Contractual",ROUND('Tabla de Amortizacion'!D86,8),IF('CALCULADORA TIPS E-6'!$F$10="6% (Medio)",ROUND('Tabla de Amortizacion'!H86,8),IF('CALCULADORA TIPS E-6'!$F$10="10% (Medio Alto)",ROUND('Tabla de Amortizacion'!L86,8),IF('CALCULADORA TIPS E-6'!$F$10="14% (Alto)",ROUND('Tabla de Amortizacion'!P86,8),IF('CALCULADORA TIPS E-6'!$F$10=20%,ROUND('Tabla de Amortizacion'!T86,8),ROUND('Tabla de Amortizacion'!X86,8))))))</f>
        <v>0</v>
      </c>
    </row>
    <row r="86" spans="1:4" ht="12.75">
      <c r="A86" s="153">
        <f t="shared" si="2"/>
        <v>40929</v>
      </c>
      <c r="B86" s="154">
        <f>IF('CALCULADORA TIPS E-6'!$F$10="Contractual",ROUND('Tabla de Amortizacion'!B87,8),IF('CALCULADORA TIPS E-6'!$F$10="6% (Medio)",ROUND('Tabla de Amortizacion'!F87,8),IF('CALCULADORA TIPS E-6'!$F$10="10% (Medio Alto)",ROUND('Tabla de Amortizacion'!J87,8),IF('CALCULADORA TIPS E-6'!$F$10="14% (Alto)",ROUND('Tabla de Amortizacion'!N87,8),IF('CALCULADORA TIPS E-6'!$F$10=20%,ROUND('Tabla de Amortizacion'!R87,8),ROUND('Tabla de Amortizacion'!V87,8))))))</f>
        <v>0</v>
      </c>
      <c r="C86" s="154">
        <f>IF('CALCULADORA TIPS E-6'!$F$10="Contractual",ROUND('Tabla de Amortizacion'!C87,8),IF('CALCULADORA TIPS E-6'!$F$10="6% (Medio)",ROUND('Tabla de Amortizacion'!G87,8),IF('CALCULADORA TIPS E-6'!$F$10="10% (Medio Alto)",ROUND('Tabla de Amortizacion'!K87,8),IF('CALCULADORA TIPS E-6'!$F$10="14% (Alto)",ROUND('Tabla de Amortizacion'!O87,8),IF('CALCULADORA TIPS E-6'!$F$10=20%,ROUND('Tabla de Amortizacion'!S87,8),ROUND('Tabla de Amortizacion'!W87,8))))))</f>
        <v>0</v>
      </c>
      <c r="D86" s="154">
        <f>IF('CALCULADORA TIPS E-6'!$F$10="Contractual",ROUND('Tabla de Amortizacion'!D87,8),IF('CALCULADORA TIPS E-6'!$F$10="6% (Medio)",ROUND('Tabla de Amortizacion'!H87,8),IF('CALCULADORA TIPS E-6'!$F$10="10% (Medio Alto)",ROUND('Tabla de Amortizacion'!L87,8),IF('CALCULADORA TIPS E-6'!$F$10="14% (Alto)",ROUND('Tabla de Amortizacion'!P87,8),IF('CALCULADORA TIPS E-6'!$F$10=20%,ROUND('Tabla de Amortizacion'!T87,8),ROUND('Tabla de Amortizacion'!X87,8))))))</f>
        <v>0</v>
      </c>
    </row>
    <row r="87" spans="1:4" ht="12.75">
      <c r="A87" s="153">
        <f t="shared" si="2"/>
        <v>40960</v>
      </c>
      <c r="B87" s="154">
        <f>IF('CALCULADORA TIPS E-6'!$F$10="Contractual",ROUND('Tabla de Amortizacion'!B88,8),IF('CALCULADORA TIPS E-6'!$F$10="6% (Medio)",ROUND('Tabla de Amortizacion'!F88,8),IF('CALCULADORA TIPS E-6'!$F$10="10% (Medio Alto)",ROUND('Tabla de Amortizacion'!J88,8),IF('CALCULADORA TIPS E-6'!$F$10="14% (Alto)",ROUND('Tabla de Amortizacion'!N88,8),IF('CALCULADORA TIPS E-6'!$F$10=20%,ROUND('Tabla de Amortizacion'!R88,8),ROUND('Tabla de Amortizacion'!V88,8))))))</f>
        <v>0</v>
      </c>
      <c r="C87" s="154">
        <f>IF('CALCULADORA TIPS E-6'!$F$10="Contractual",ROUND('Tabla de Amortizacion'!C88,8),IF('CALCULADORA TIPS E-6'!$F$10="6% (Medio)",ROUND('Tabla de Amortizacion'!G88,8),IF('CALCULADORA TIPS E-6'!$F$10="10% (Medio Alto)",ROUND('Tabla de Amortizacion'!K88,8),IF('CALCULADORA TIPS E-6'!$F$10="14% (Alto)",ROUND('Tabla de Amortizacion'!O88,8),IF('CALCULADORA TIPS E-6'!$F$10=20%,ROUND('Tabla de Amortizacion'!S88,8),ROUND('Tabla de Amortizacion'!W88,8))))))</f>
        <v>0</v>
      </c>
      <c r="D87" s="154">
        <f>IF('CALCULADORA TIPS E-6'!$F$10="Contractual",ROUND('Tabla de Amortizacion'!D88,8),IF('CALCULADORA TIPS E-6'!$F$10="6% (Medio)",ROUND('Tabla de Amortizacion'!H88,8),IF('CALCULADORA TIPS E-6'!$F$10="10% (Medio Alto)",ROUND('Tabla de Amortizacion'!L88,8),IF('CALCULADORA TIPS E-6'!$F$10="14% (Alto)",ROUND('Tabla de Amortizacion'!P88,8),IF('CALCULADORA TIPS E-6'!$F$10=20%,ROUND('Tabla de Amortizacion'!T88,8),ROUND('Tabla de Amortizacion'!X88,8))))))</f>
        <v>0</v>
      </c>
    </row>
    <row r="88" spans="1:4" ht="12.75">
      <c r="A88" s="153">
        <f t="shared" si="2"/>
        <v>40989</v>
      </c>
      <c r="B88" s="154">
        <f>IF('CALCULADORA TIPS E-6'!$F$10="Contractual",ROUND('Tabla de Amortizacion'!B89,8),IF('CALCULADORA TIPS E-6'!$F$10="6% (Medio)",ROUND('Tabla de Amortizacion'!F89,8),IF('CALCULADORA TIPS E-6'!$F$10="10% (Medio Alto)",ROUND('Tabla de Amortizacion'!J89,8),IF('CALCULADORA TIPS E-6'!$F$10="14% (Alto)",ROUND('Tabla de Amortizacion'!N89,8),IF('CALCULADORA TIPS E-6'!$F$10=20%,ROUND('Tabla de Amortizacion'!R89,8),ROUND('Tabla de Amortizacion'!V89,8))))))</f>
        <v>0</v>
      </c>
      <c r="C88" s="154">
        <f>IF('CALCULADORA TIPS E-6'!$F$10="Contractual",ROUND('Tabla de Amortizacion'!C89,8),IF('CALCULADORA TIPS E-6'!$F$10="6% (Medio)",ROUND('Tabla de Amortizacion'!G89,8),IF('CALCULADORA TIPS E-6'!$F$10="10% (Medio Alto)",ROUND('Tabla de Amortizacion'!K89,8),IF('CALCULADORA TIPS E-6'!$F$10="14% (Alto)",ROUND('Tabla de Amortizacion'!O89,8),IF('CALCULADORA TIPS E-6'!$F$10=20%,ROUND('Tabla de Amortizacion'!S89,8),ROUND('Tabla de Amortizacion'!W89,8))))))</f>
        <v>0</v>
      </c>
      <c r="D88" s="154">
        <f>IF('CALCULADORA TIPS E-6'!$F$10="Contractual",ROUND('Tabla de Amortizacion'!D89,8),IF('CALCULADORA TIPS E-6'!$F$10="6% (Medio)",ROUND('Tabla de Amortizacion'!H89,8),IF('CALCULADORA TIPS E-6'!$F$10="10% (Medio Alto)",ROUND('Tabla de Amortizacion'!L89,8),IF('CALCULADORA TIPS E-6'!$F$10="14% (Alto)",ROUND('Tabla de Amortizacion'!P89,8),IF('CALCULADORA TIPS E-6'!$F$10=20%,ROUND('Tabla de Amortizacion'!T89,8),ROUND('Tabla de Amortizacion'!X89,8))))))</f>
        <v>0</v>
      </c>
    </row>
    <row r="89" spans="1:4" ht="12.75">
      <c r="A89" s="153">
        <f t="shared" si="2"/>
        <v>41020</v>
      </c>
      <c r="B89" s="154">
        <f>IF('CALCULADORA TIPS E-6'!$F$10="Contractual",ROUND('Tabla de Amortizacion'!B90,8),IF('CALCULADORA TIPS E-6'!$F$10="6% (Medio)",ROUND('Tabla de Amortizacion'!F90,8),IF('CALCULADORA TIPS E-6'!$F$10="10% (Medio Alto)",ROUND('Tabla de Amortizacion'!J90,8),IF('CALCULADORA TIPS E-6'!$F$10="14% (Alto)",ROUND('Tabla de Amortizacion'!N90,8),IF('CALCULADORA TIPS E-6'!$F$10=20%,ROUND('Tabla de Amortizacion'!R90,8),ROUND('Tabla de Amortizacion'!V90,8))))))</f>
        <v>0</v>
      </c>
      <c r="C89" s="154">
        <f>IF('CALCULADORA TIPS E-6'!$F$10="Contractual",ROUND('Tabla de Amortizacion'!C90,8),IF('CALCULADORA TIPS E-6'!$F$10="6% (Medio)",ROUND('Tabla de Amortizacion'!G90,8),IF('CALCULADORA TIPS E-6'!$F$10="10% (Medio Alto)",ROUND('Tabla de Amortizacion'!K90,8),IF('CALCULADORA TIPS E-6'!$F$10="14% (Alto)",ROUND('Tabla de Amortizacion'!O90,8),IF('CALCULADORA TIPS E-6'!$F$10=20%,ROUND('Tabla de Amortizacion'!S90,8),ROUND('Tabla de Amortizacion'!W90,8))))))</f>
        <v>0</v>
      </c>
      <c r="D89" s="154">
        <f>IF('CALCULADORA TIPS E-6'!$F$10="Contractual",ROUND('Tabla de Amortizacion'!D90,8),IF('CALCULADORA TIPS E-6'!$F$10="6% (Medio)",ROUND('Tabla de Amortizacion'!H90,8),IF('CALCULADORA TIPS E-6'!$F$10="10% (Medio Alto)",ROUND('Tabla de Amortizacion'!L90,8),IF('CALCULADORA TIPS E-6'!$F$10="14% (Alto)",ROUND('Tabla de Amortizacion'!P90,8),IF('CALCULADORA TIPS E-6'!$F$10=20%,ROUND('Tabla de Amortizacion'!T90,8),ROUND('Tabla de Amortizacion'!X90,8))))))</f>
        <v>0</v>
      </c>
    </row>
    <row r="90" spans="1:4" ht="12.75">
      <c r="A90" s="153">
        <f t="shared" si="2"/>
        <v>41050</v>
      </c>
      <c r="B90" s="154">
        <f>IF('CALCULADORA TIPS E-6'!$F$10="Contractual",ROUND('Tabla de Amortizacion'!B91,8),IF('CALCULADORA TIPS E-6'!$F$10="6% (Medio)",ROUND('Tabla de Amortizacion'!F91,8),IF('CALCULADORA TIPS E-6'!$F$10="10% (Medio Alto)",ROUND('Tabla de Amortizacion'!J91,8),IF('CALCULADORA TIPS E-6'!$F$10="14% (Alto)",ROUND('Tabla de Amortizacion'!N91,8),IF('CALCULADORA TIPS E-6'!$F$10=20%,ROUND('Tabla de Amortizacion'!R91,8),ROUND('Tabla de Amortizacion'!V91,8))))))</f>
        <v>0</v>
      </c>
      <c r="C90" s="154">
        <f>IF('CALCULADORA TIPS E-6'!$F$10="Contractual",ROUND('Tabla de Amortizacion'!C91,8),IF('CALCULADORA TIPS E-6'!$F$10="6% (Medio)",ROUND('Tabla de Amortizacion'!G91,8),IF('CALCULADORA TIPS E-6'!$F$10="10% (Medio Alto)",ROUND('Tabla de Amortizacion'!K91,8),IF('CALCULADORA TIPS E-6'!$F$10="14% (Alto)",ROUND('Tabla de Amortizacion'!O91,8),IF('CALCULADORA TIPS E-6'!$F$10=20%,ROUND('Tabla de Amortizacion'!S91,8),ROUND('Tabla de Amortizacion'!W91,8))))))</f>
        <v>0</v>
      </c>
      <c r="D90" s="154">
        <f>IF('CALCULADORA TIPS E-6'!$F$10="Contractual",ROUND('Tabla de Amortizacion'!D91,8),IF('CALCULADORA TIPS E-6'!$F$10="6% (Medio)",ROUND('Tabla de Amortizacion'!H91,8),IF('CALCULADORA TIPS E-6'!$F$10="10% (Medio Alto)",ROUND('Tabla de Amortizacion'!L91,8),IF('CALCULADORA TIPS E-6'!$F$10="14% (Alto)",ROUND('Tabla de Amortizacion'!P91,8),IF('CALCULADORA TIPS E-6'!$F$10=20%,ROUND('Tabla de Amortizacion'!T91,8),ROUND('Tabla de Amortizacion'!X91,8))))))</f>
        <v>0</v>
      </c>
    </row>
    <row r="91" spans="1:4" ht="12.75">
      <c r="A91" s="153">
        <f t="shared" si="2"/>
        <v>41081</v>
      </c>
      <c r="B91" s="154">
        <f>IF('CALCULADORA TIPS E-6'!$F$10="Contractual",ROUND('Tabla de Amortizacion'!B92,8),IF('CALCULADORA TIPS E-6'!$F$10="6% (Medio)",ROUND('Tabla de Amortizacion'!F92,8),IF('CALCULADORA TIPS E-6'!$F$10="10% (Medio Alto)",ROUND('Tabla de Amortizacion'!J92,8),IF('CALCULADORA TIPS E-6'!$F$10="14% (Alto)",ROUND('Tabla de Amortizacion'!N92,8),IF('CALCULADORA TIPS E-6'!$F$10=20%,ROUND('Tabla de Amortizacion'!R92,8),ROUND('Tabla de Amortizacion'!V92,8))))))</f>
        <v>0</v>
      </c>
      <c r="C91" s="154">
        <f>IF('CALCULADORA TIPS E-6'!$F$10="Contractual",ROUND('Tabla de Amortizacion'!C92,8),IF('CALCULADORA TIPS E-6'!$F$10="6% (Medio)",ROUND('Tabla de Amortizacion'!G92,8),IF('CALCULADORA TIPS E-6'!$F$10="10% (Medio Alto)",ROUND('Tabla de Amortizacion'!K92,8),IF('CALCULADORA TIPS E-6'!$F$10="14% (Alto)",ROUND('Tabla de Amortizacion'!O92,8),IF('CALCULADORA TIPS E-6'!$F$10=20%,ROUND('Tabla de Amortizacion'!S92,8),ROUND('Tabla de Amortizacion'!W92,8))))))</f>
        <v>0</v>
      </c>
      <c r="D91" s="154">
        <f>IF('CALCULADORA TIPS E-6'!$F$10="Contractual",ROUND('Tabla de Amortizacion'!D92,8),IF('CALCULADORA TIPS E-6'!$F$10="6% (Medio)",ROUND('Tabla de Amortizacion'!H92,8),IF('CALCULADORA TIPS E-6'!$F$10="10% (Medio Alto)",ROUND('Tabla de Amortizacion'!L92,8),IF('CALCULADORA TIPS E-6'!$F$10="14% (Alto)",ROUND('Tabla de Amortizacion'!P92,8),IF('CALCULADORA TIPS E-6'!$F$10=20%,ROUND('Tabla de Amortizacion'!T92,8),ROUND('Tabla de Amortizacion'!X92,8))))))</f>
        <v>0</v>
      </c>
    </row>
    <row r="92" spans="1:4" ht="12.75">
      <c r="A92" s="153">
        <f t="shared" si="2"/>
        <v>41111</v>
      </c>
      <c r="B92" s="154">
        <f>IF('CALCULADORA TIPS E-6'!$F$10="Contractual",ROUND('Tabla de Amortizacion'!B93,8),IF('CALCULADORA TIPS E-6'!$F$10="6% (Medio)",ROUND('Tabla de Amortizacion'!F93,8),IF('CALCULADORA TIPS E-6'!$F$10="10% (Medio Alto)",ROUND('Tabla de Amortizacion'!J93,8),IF('CALCULADORA TIPS E-6'!$F$10="14% (Alto)",ROUND('Tabla de Amortizacion'!N93,8),IF('CALCULADORA TIPS E-6'!$F$10=20%,ROUND('Tabla de Amortizacion'!R93,8),ROUND('Tabla de Amortizacion'!V93,8))))))</f>
        <v>0</v>
      </c>
      <c r="C92" s="154">
        <f>IF('CALCULADORA TIPS E-6'!$F$10="Contractual",ROUND('Tabla de Amortizacion'!C93,8),IF('CALCULADORA TIPS E-6'!$F$10="6% (Medio)",ROUND('Tabla de Amortizacion'!G93,8),IF('CALCULADORA TIPS E-6'!$F$10="10% (Medio Alto)",ROUND('Tabla de Amortizacion'!K93,8),IF('CALCULADORA TIPS E-6'!$F$10="14% (Alto)",ROUND('Tabla de Amortizacion'!O93,8),IF('CALCULADORA TIPS E-6'!$F$10=20%,ROUND('Tabla de Amortizacion'!S93,8),ROUND('Tabla de Amortizacion'!W93,8))))))</f>
        <v>0</v>
      </c>
      <c r="D92" s="154">
        <f>IF('CALCULADORA TIPS E-6'!$F$10="Contractual",ROUND('Tabla de Amortizacion'!D93,8),IF('CALCULADORA TIPS E-6'!$F$10="6% (Medio)",ROUND('Tabla de Amortizacion'!H93,8),IF('CALCULADORA TIPS E-6'!$F$10="10% (Medio Alto)",ROUND('Tabla de Amortizacion'!L93,8),IF('CALCULADORA TIPS E-6'!$F$10="14% (Alto)",ROUND('Tabla de Amortizacion'!P93,8),IF('CALCULADORA TIPS E-6'!$F$10=20%,ROUND('Tabla de Amortizacion'!T93,8),ROUND('Tabla de Amortizacion'!X93,8))))))</f>
        <v>0</v>
      </c>
    </row>
    <row r="93" spans="1:4" ht="12.75">
      <c r="A93" s="153">
        <f t="shared" si="2"/>
        <v>41142</v>
      </c>
      <c r="B93" s="154">
        <f>IF('CALCULADORA TIPS E-6'!$F$10="Contractual",ROUND('Tabla de Amortizacion'!B94,8),IF('CALCULADORA TIPS E-6'!$F$10="6% (Medio)",ROUND('Tabla de Amortizacion'!F94,8),IF('CALCULADORA TIPS E-6'!$F$10="10% (Medio Alto)",ROUND('Tabla de Amortizacion'!J94,8),IF('CALCULADORA TIPS E-6'!$F$10="14% (Alto)",ROUND('Tabla de Amortizacion'!N94,8),IF('CALCULADORA TIPS E-6'!$F$10=20%,ROUND('Tabla de Amortizacion'!R94,8),ROUND('Tabla de Amortizacion'!V94,8))))))</f>
        <v>0</v>
      </c>
      <c r="C93" s="154">
        <f>IF('CALCULADORA TIPS E-6'!$F$10="Contractual",ROUND('Tabla de Amortizacion'!C94,8),IF('CALCULADORA TIPS E-6'!$F$10="6% (Medio)",ROUND('Tabla de Amortizacion'!G94,8),IF('CALCULADORA TIPS E-6'!$F$10="10% (Medio Alto)",ROUND('Tabla de Amortizacion'!K94,8),IF('CALCULADORA TIPS E-6'!$F$10="14% (Alto)",ROUND('Tabla de Amortizacion'!O94,8),IF('CALCULADORA TIPS E-6'!$F$10=20%,ROUND('Tabla de Amortizacion'!S94,8),ROUND('Tabla de Amortizacion'!W94,8))))))</f>
        <v>0</v>
      </c>
      <c r="D93" s="154">
        <f>IF('CALCULADORA TIPS E-6'!$F$10="Contractual",ROUND('Tabla de Amortizacion'!D94,8),IF('CALCULADORA TIPS E-6'!$F$10="6% (Medio)",ROUND('Tabla de Amortizacion'!H94,8),IF('CALCULADORA TIPS E-6'!$F$10="10% (Medio Alto)",ROUND('Tabla de Amortizacion'!L94,8),IF('CALCULADORA TIPS E-6'!$F$10="14% (Alto)",ROUND('Tabla de Amortizacion'!P94,8),IF('CALCULADORA TIPS E-6'!$F$10=20%,ROUND('Tabla de Amortizacion'!T94,8),ROUND('Tabla de Amortizacion'!X94,8))))))</f>
        <v>0</v>
      </c>
    </row>
    <row r="94" spans="1:4" ht="12.75">
      <c r="A94" s="153">
        <f t="shared" si="2"/>
        <v>41173</v>
      </c>
      <c r="B94" s="154">
        <f>IF('CALCULADORA TIPS E-6'!$F$10="Contractual",ROUND('Tabla de Amortizacion'!B95,8),IF('CALCULADORA TIPS E-6'!$F$10="6% (Medio)",ROUND('Tabla de Amortizacion'!F95,8),IF('CALCULADORA TIPS E-6'!$F$10="10% (Medio Alto)",ROUND('Tabla de Amortizacion'!J95,8),IF('CALCULADORA TIPS E-6'!$F$10="14% (Alto)",ROUND('Tabla de Amortizacion'!N95,8),IF('CALCULADORA TIPS E-6'!$F$10=20%,ROUND('Tabla de Amortizacion'!R95,8),ROUND('Tabla de Amortizacion'!V95,8))))))</f>
        <v>0</v>
      </c>
      <c r="C94" s="154">
        <f>IF('CALCULADORA TIPS E-6'!$F$10="Contractual",ROUND('Tabla de Amortizacion'!C95,8),IF('CALCULADORA TIPS E-6'!$F$10="6% (Medio)",ROUND('Tabla de Amortizacion'!G95,8),IF('CALCULADORA TIPS E-6'!$F$10="10% (Medio Alto)",ROUND('Tabla de Amortizacion'!K95,8),IF('CALCULADORA TIPS E-6'!$F$10="14% (Alto)",ROUND('Tabla de Amortizacion'!O95,8),IF('CALCULADORA TIPS E-6'!$F$10=20%,ROUND('Tabla de Amortizacion'!S95,8),ROUND('Tabla de Amortizacion'!W95,8))))))</f>
        <v>0</v>
      </c>
      <c r="D94" s="154">
        <f>IF('CALCULADORA TIPS E-6'!$F$10="Contractual",ROUND('Tabla de Amortizacion'!D95,8),IF('CALCULADORA TIPS E-6'!$F$10="6% (Medio)",ROUND('Tabla de Amortizacion'!H95,8),IF('CALCULADORA TIPS E-6'!$F$10="10% (Medio Alto)",ROUND('Tabla de Amortizacion'!L95,8),IF('CALCULADORA TIPS E-6'!$F$10="14% (Alto)",ROUND('Tabla de Amortizacion'!P95,8),IF('CALCULADORA TIPS E-6'!$F$10=20%,ROUND('Tabla de Amortizacion'!T95,8),ROUND('Tabla de Amortizacion'!X95,8))))))</f>
        <v>0</v>
      </c>
    </row>
    <row r="95" spans="1:4" ht="12.75">
      <c r="A95" s="153">
        <f t="shared" si="2"/>
        <v>41203</v>
      </c>
      <c r="B95" s="154">
        <f>IF('CALCULADORA TIPS E-6'!$F$10="Contractual",ROUND('Tabla de Amortizacion'!B96,8),IF('CALCULADORA TIPS E-6'!$F$10="6% (Medio)",ROUND('Tabla de Amortizacion'!F96,8),IF('CALCULADORA TIPS E-6'!$F$10="10% (Medio Alto)",ROUND('Tabla de Amortizacion'!J96,8),IF('CALCULADORA TIPS E-6'!$F$10="14% (Alto)",ROUND('Tabla de Amortizacion'!N96,8),IF('CALCULADORA TIPS E-6'!$F$10=20%,ROUND('Tabla de Amortizacion'!R96,8),ROUND('Tabla de Amortizacion'!V96,8))))))</f>
        <v>0</v>
      </c>
      <c r="C95" s="154">
        <f>IF('CALCULADORA TIPS E-6'!$F$10="Contractual",ROUND('Tabla de Amortizacion'!C96,8),IF('CALCULADORA TIPS E-6'!$F$10="6% (Medio)",ROUND('Tabla de Amortizacion'!G96,8),IF('CALCULADORA TIPS E-6'!$F$10="10% (Medio Alto)",ROUND('Tabla de Amortizacion'!K96,8),IF('CALCULADORA TIPS E-6'!$F$10="14% (Alto)",ROUND('Tabla de Amortizacion'!O96,8),IF('CALCULADORA TIPS E-6'!$F$10=20%,ROUND('Tabla de Amortizacion'!S96,8),ROUND('Tabla de Amortizacion'!W96,8))))))</f>
        <v>0</v>
      </c>
      <c r="D95" s="154">
        <f>IF('CALCULADORA TIPS E-6'!$F$10="Contractual",ROUND('Tabla de Amortizacion'!D96,8),IF('CALCULADORA TIPS E-6'!$F$10="6% (Medio)",ROUND('Tabla de Amortizacion'!H96,8),IF('CALCULADORA TIPS E-6'!$F$10="10% (Medio Alto)",ROUND('Tabla de Amortizacion'!L96,8),IF('CALCULADORA TIPS E-6'!$F$10="14% (Alto)",ROUND('Tabla de Amortizacion'!P96,8),IF('CALCULADORA TIPS E-6'!$F$10=20%,ROUND('Tabla de Amortizacion'!T96,8),ROUND('Tabla de Amortizacion'!X96,8))))))</f>
        <v>0</v>
      </c>
    </row>
    <row r="96" spans="1:4" ht="12.75">
      <c r="A96" s="153">
        <f t="shared" si="2"/>
        <v>41234</v>
      </c>
      <c r="B96" s="154">
        <f>IF('CALCULADORA TIPS E-6'!$F$10="Contractual",ROUND('Tabla de Amortizacion'!B97,8),IF('CALCULADORA TIPS E-6'!$F$10="6% (Medio)",ROUND('Tabla de Amortizacion'!F97,8),IF('CALCULADORA TIPS E-6'!$F$10="10% (Medio Alto)",ROUND('Tabla de Amortizacion'!J97,8),IF('CALCULADORA TIPS E-6'!$F$10="14% (Alto)",ROUND('Tabla de Amortizacion'!N97,8),IF('CALCULADORA TIPS E-6'!$F$10=20%,ROUND('Tabla de Amortizacion'!R97,8),ROUND('Tabla de Amortizacion'!V97,8))))))</f>
        <v>0</v>
      </c>
      <c r="C96" s="154">
        <f>IF('CALCULADORA TIPS E-6'!$F$10="Contractual",ROUND('Tabla de Amortizacion'!C97,8),IF('CALCULADORA TIPS E-6'!$F$10="6% (Medio)",ROUND('Tabla de Amortizacion'!G97,8),IF('CALCULADORA TIPS E-6'!$F$10="10% (Medio Alto)",ROUND('Tabla de Amortizacion'!K97,8),IF('CALCULADORA TIPS E-6'!$F$10="14% (Alto)",ROUND('Tabla de Amortizacion'!O97,8),IF('CALCULADORA TIPS E-6'!$F$10=20%,ROUND('Tabla de Amortizacion'!S97,8),ROUND('Tabla de Amortizacion'!W97,8))))))</f>
        <v>0</v>
      </c>
      <c r="D96" s="154">
        <f>IF('CALCULADORA TIPS E-6'!$F$10="Contractual",ROUND('Tabla de Amortizacion'!D97,8),IF('CALCULADORA TIPS E-6'!$F$10="6% (Medio)",ROUND('Tabla de Amortizacion'!H97,8),IF('CALCULADORA TIPS E-6'!$F$10="10% (Medio Alto)",ROUND('Tabla de Amortizacion'!L97,8),IF('CALCULADORA TIPS E-6'!$F$10="14% (Alto)",ROUND('Tabla de Amortizacion'!P97,8),IF('CALCULADORA TIPS E-6'!$F$10=20%,ROUND('Tabla de Amortizacion'!T97,8),ROUND('Tabla de Amortizacion'!X97,8))))))</f>
        <v>0</v>
      </c>
    </row>
    <row r="97" spans="1:4" ht="12.75">
      <c r="A97" s="153">
        <f t="shared" si="2"/>
        <v>41264</v>
      </c>
      <c r="B97" s="154">
        <f>IF('CALCULADORA TIPS E-6'!$F$10="Contractual",ROUND('Tabla de Amortizacion'!B98,8),IF('CALCULADORA TIPS E-6'!$F$10="6% (Medio)",ROUND('Tabla de Amortizacion'!F98,8),IF('CALCULADORA TIPS E-6'!$F$10="10% (Medio Alto)",ROUND('Tabla de Amortizacion'!J98,8),IF('CALCULADORA TIPS E-6'!$F$10="14% (Alto)",ROUND('Tabla de Amortizacion'!N98,8),IF('CALCULADORA TIPS E-6'!$F$10=20%,ROUND('Tabla de Amortizacion'!R98,8),ROUND('Tabla de Amortizacion'!V98,8))))))</f>
        <v>0</v>
      </c>
      <c r="C97" s="154">
        <f>IF('CALCULADORA TIPS E-6'!$F$10="Contractual",ROUND('Tabla de Amortizacion'!C98,8),IF('CALCULADORA TIPS E-6'!$F$10="6% (Medio)",ROUND('Tabla de Amortizacion'!G98,8),IF('CALCULADORA TIPS E-6'!$F$10="10% (Medio Alto)",ROUND('Tabla de Amortizacion'!K98,8),IF('CALCULADORA TIPS E-6'!$F$10="14% (Alto)",ROUND('Tabla de Amortizacion'!O98,8),IF('CALCULADORA TIPS E-6'!$F$10=20%,ROUND('Tabla de Amortizacion'!S98,8),ROUND('Tabla de Amortizacion'!W98,8))))))</f>
        <v>0</v>
      </c>
      <c r="D97" s="154">
        <f>IF('CALCULADORA TIPS E-6'!$F$10="Contractual",ROUND('Tabla de Amortizacion'!D98,8),IF('CALCULADORA TIPS E-6'!$F$10="6% (Medio)",ROUND('Tabla de Amortizacion'!H98,8),IF('CALCULADORA TIPS E-6'!$F$10="10% (Medio Alto)",ROUND('Tabla de Amortizacion'!L98,8),IF('CALCULADORA TIPS E-6'!$F$10="14% (Alto)",ROUND('Tabla de Amortizacion'!P98,8),IF('CALCULADORA TIPS E-6'!$F$10=20%,ROUND('Tabla de Amortizacion'!T98,8),ROUND('Tabla de Amortizacion'!X98,8))))))</f>
        <v>0</v>
      </c>
    </row>
    <row r="98" spans="1:4" ht="12.75">
      <c r="A98" s="153">
        <f t="shared" si="2"/>
        <v>41295</v>
      </c>
      <c r="B98" s="154">
        <f>IF('CALCULADORA TIPS E-6'!$F$10="Contractual",ROUND('Tabla de Amortizacion'!B99,8),IF('CALCULADORA TIPS E-6'!$F$10="6% (Medio)",ROUND('Tabla de Amortizacion'!F99,8),IF('CALCULADORA TIPS E-6'!$F$10="10% (Medio Alto)",ROUND('Tabla de Amortizacion'!J99,8),IF('CALCULADORA TIPS E-6'!$F$10="14% (Alto)",ROUND('Tabla de Amortizacion'!N99,8),IF('CALCULADORA TIPS E-6'!$F$10=20%,ROUND('Tabla de Amortizacion'!R99,8),ROUND('Tabla de Amortizacion'!V99,8))))))</f>
        <v>0</v>
      </c>
      <c r="C98" s="154">
        <f>IF('CALCULADORA TIPS E-6'!$F$10="Contractual",ROUND('Tabla de Amortizacion'!C99,8),IF('CALCULADORA TIPS E-6'!$F$10="6% (Medio)",ROUND('Tabla de Amortizacion'!G99,8),IF('CALCULADORA TIPS E-6'!$F$10="10% (Medio Alto)",ROUND('Tabla de Amortizacion'!K99,8),IF('CALCULADORA TIPS E-6'!$F$10="14% (Alto)",ROUND('Tabla de Amortizacion'!O99,8),IF('CALCULADORA TIPS E-6'!$F$10=20%,ROUND('Tabla de Amortizacion'!S99,8),ROUND('Tabla de Amortizacion'!W99,8))))))</f>
        <v>0</v>
      </c>
      <c r="D98" s="154">
        <f>IF('CALCULADORA TIPS E-6'!$F$10="Contractual",ROUND('Tabla de Amortizacion'!D99,8),IF('CALCULADORA TIPS E-6'!$F$10="6% (Medio)",ROUND('Tabla de Amortizacion'!H99,8),IF('CALCULADORA TIPS E-6'!$F$10="10% (Medio Alto)",ROUND('Tabla de Amortizacion'!L99,8),IF('CALCULADORA TIPS E-6'!$F$10="14% (Alto)",ROUND('Tabla de Amortizacion'!P99,8),IF('CALCULADORA TIPS E-6'!$F$10=20%,ROUND('Tabla de Amortizacion'!T99,8),ROUND('Tabla de Amortizacion'!X99,8))))))</f>
        <v>0</v>
      </c>
    </row>
    <row r="99" spans="1:4" ht="12.75">
      <c r="A99" s="153">
        <f aca="true" t="shared" si="3" ref="A99:A130">_XLL.FECHA.MES(A98,1)</f>
        <v>41326</v>
      </c>
      <c r="B99" s="154">
        <f>IF('CALCULADORA TIPS E-6'!$F$10="Contractual",ROUND('Tabla de Amortizacion'!B100,8),IF('CALCULADORA TIPS E-6'!$F$10="6% (Medio)",ROUND('Tabla de Amortizacion'!F100,8),IF('CALCULADORA TIPS E-6'!$F$10="10% (Medio Alto)",ROUND('Tabla de Amortizacion'!J100,8),IF('CALCULADORA TIPS E-6'!$F$10="14% (Alto)",ROUND('Tabla de Amortizacion'!N100,8),IF('CALCULADORA TIPS E-6'!$F$10=20%,ROUND('Tabla de Amortizacion'!R100,8),ROUND('Tabla de Amortizacion'!V100,8))))))</f>
        <v>0</v>
      </c>
      <c r="C99" s="154">
        <f>IF('CALCULADORA TIPS E-6'!$F$10="Contractual",ROUND('Tabla de Amortizacion'!C100,8),IF('CALCULADORA TIPS E-6'!$F$10="6% (Medio)",ROUND('Tabla de Amortizacion'!G100,8),IF('CALCULADORA TIPS E-6'!$F$10="10% (Medio Alto)",ROUND('Tabla de Amortizacion'!K100,8),IF('CALCULADORA TIPS E-6'!$F$10="14% (Alto)",ROUND('Tabla de Amortizacion'!O100,8),IF('CALCULADORA TIPS E-6'!$F$10=20%,ROUND('Tabla de Amortizacion'!S100,8),ROUND('Tabla de Amortizacion'!W100,8))))))</f>
        <v>0</v>
      </c>
      <c r="D99" s="154">
        <f>IF('CALCULADORA TIPS E-6'!$F$10="Contractual",ROUND('Tabla de Amortizacion'!D100,8),IF('CALCULADORA TIPS E-6'!$F$10="6% (Medio)",ROUND('Tabla de Amortizacion'!H100,8),IF('CALCULADORA TIPS E-6'!$F$10="10% (Medio Alto)",ROUND('Tabla de Amortizacion'!L100,8),IF('CALCULADORA TIPS E-6'!$F$10="14% (Alto)",ROUND('Tabla de Amortizacion'!P100,8),IF('CALCULADORA TIPS E-6'!$F$10=20%,ROUND('Tabla de Amortizacion'!T100,8),ROUND('Tabla de Amortizacion'!X100,8))))))</f>
        <v>0</v>
      </c>
    </row>
    <row r="100" spans="1:4" ht="12.75">
      <c r="A100" s="153">
        <f t="shared" si="3"/>
        <v>41354</v>
      </c>
      <c r="B100" s="154">
        <f>IF('CALCULADORA TIPS E-6'!$F$10="Contractual",ROUND('Tabla de Amortizacion'!B101,8),IF('CALCULADORA TIPS E-6'!$F$10="6% (Medio)",ROUND('Tabla de Amortizacion'!F101,8),IF('CALCULADORA TIPS E-6'!$F$10="10% (Medio Alto)",ROUND('Tabla de Amortizacion'!J101,8),IF('CALCULADORA TIPS E-6'!$F$10="14% (Alto)",ROUND('Tabla de Amortizacion'!N101,8),IF('CALCULADORA TIPS E-6'!$F$10=20%,ROUND('Tabla de Amortizacion'!R101,8),ROUND('Tabla de Amortizacion'!V101,8))))))</f>
        <v>0</v>
      </c>
      <c r="C100" s="154">
        <f>IF('CALCULADORA TIPS E-6'!$F$10="Contractual",ROUND('Tabla de Amortizacion'!C101,8),IF('CALCULADORA TIPS E-6'!$F$10="6% (Medio)",ROUND('Tabla de Amortizacion'!G101,8),IF('CALCULADORA TIPS E-6'!$F$10="10% (Medio Alto)",ROUND('Tabla de Amortizacion'!K101,8),IF('CALCULADORA TIPS E-6'!$F$10="14% (Alto)",ROUND('Tabla de Amortizacion'!O101,8),IF('CALCULADORA TIPS E-6'!$F$10=20%,ROUND('Tabla de Amortizacion'!S101,8),ROUND('Tabla de Amortizacion'!W101,8))))))</f>
        <v>0</v>
      </c>
      <c r="D100" s="154">
        <f>IF('CALCULADORA TIPS E-6'!$F$10="Contractual",ROUND('Tabla de Amortizacion'!D101,8),IF('CALCULADORA TIPS E-6'!$F$10="6% (Medio)",ROUND('Tabla de Amortizacion'!H101,8),IF('CALCULADORA TIPS E-6'!$F$10="10% (Medio Alto)",ROUND('Tabla de Amortizacion'!L101,8),IF('CALCULADORA TIPS E-6'!$F$10="14% (Alto)",ROUND('Tabla de Amortizacion'!P101,8),IF('CALCULADORA TIPS E-6'!$F$10=20%,ROUND('Tabla de Amortizacion'!T101,8),ROUND('Tabla de Amortizacion'!X101,8))))))</f>
        <v>0</v>
      </c>
    </row>
    <row r="101" spans="1:4" ht="12.75">
      <c r="A101" s="153">
        <f t="shared" si="3"/>
        <v>41385</v>
      </c>
      <c r="B101" s="154">
        <f>IF('CALCULADORA TIPS E-6'!$F$10="Contractual",ROUND('Tabla de Amortizacion'!B102,8),IF('CALCULADORA TIPS E-6'!$F$10="6% (Medio)",ROUND('Tabla de Amortizacion'!F102,8),IF('CALCULADORA TIPS E-6'!$F$10="10% (Medio Alto)",ROUND('Tabla de Amortizacion'!J102,8),IF('CALCULADORA TIPS E-6'!$F$10="14% (Alto)",ROUND('Tabla de Amortizacion'!N102,8),IF('CALCULADORA TIPS E-6'!$F$10=20%,ROUND('Tabla de Amortizacion'!R102,8),ROUND('Tabla de Amortizacion'!V102,8))))))</f>
        <v>0</v>
      </c>
      <c r="C101" s="154">
        <f>IF('CALCULADORA TIPS E-6'!$F$10="Contractual",ROUND('Tabla de Amortizacion'!C102,8),IF('CALCULADORA TIPS E-6'!$F$10="6% (Medio)",ROUND('Tabla de Amortizacion'!G102,8),IF('CALCULADORA TIPS E-6'!$F$10="10% (Medio Alto)",ROUND('Tabla de Amortizacion'!K102,8),IF('CALCULADORA TIPS E-6'!$F$10="14% (Alto)",ROUND('Tabla de Amortizacion'!O102,8),IF('CALCULADORA TIPS E-6'!$F$10=20%,ROUND('Tabla de Amortizacion'!S102,8),ROUND('Tabla de Amortizacion'!W102,8))))))</f>
        <v>0</v>
      </c>
      <c r="D101" s="154">
        <f>IF('CALCULADORA TIPS E-6'!$F$10="Contractual",ROUND('Tabla de Amortizacion'!D102,8),IF('CALCULADORA TIPS E-6'!$F$10="6% (Medio)",ROUND('Tabla de Amortizacion'!H102,8),IF('CALCULADORA TIPS E-6'!$F$10="10% (Medio Alto)",ROUND('Tabla de Amortizacion'!L102,8),IF('CALCULADORA TIPS E-6'!$F$10="14% (Alto)",ROUND('Tabla de Amortizacion'!P102,8),IF('CALCULADORA TIPS E-6'!$F$10=20%,ROUND('Tabla de Amortizacion'!T102,8),ROUND('Tabla de Amortizacion'!X102,8))))))</f>
        <v>0</v>
      </c>
    </row>
    <row r="102" spans="1:4" ht="12.75">
      <c r="A102" s="153">
        <f t="shared" si="3"/>
        <v>41415</v>
      </c>
      <c r="B102" s="154">
        <f>IF('CALCULADORA TIPS E-6'!$F$10="Contractual",ROUND('Tabla de Amortizacion'!B103,8),IF('CALCULADORA TIPS E-6'!$F$10="6% (Medio)",ROUND('Tabla de Amortizacion'!F103,8),IF('CALCULADORA TIPS E-6'!$F$10="10% (Medio Alto)",ROUND('Tabla de Amortizacion'!J103,8),IF('CALCULADORA TIPS E-6'!$F$10="14% (Alto)",ROUND('Tabla de Amortizacion'!N103,8),IF('CALCULADORA TIPS E-6'!$F$10=20%,ROUND('Tabla de Amortizacion'!R103,8),ROUND('Tabla de Amortizacion'!V103,8))))))</f>
        <v>0</v>
      </c>
      <c r="C102" s="154">
        <f>IF('CALCULADORA TIPS E-6'!$F$10="Contractual",ROUND('Tabla de Amortizacion'!C103,8),IF('CALCULADORA TIPS E-6'!$F$10="6% (Medio)",ROUND('Tabla de Amortizacion'!G103,8),IF('CALCULADORA TIPS E-6'!$F$10="10% (Medio Alto)",ROUND('Tabla de Amortizacion'!K103,8),IF('CALCULADORA TIPS E-6'!$F$10="14% (Alto)",ROUND('Tabla de Amortizacion'!O103,8),IF('CALCULADORA TIPS E-6'!$F$10=20%,ROUND('Tabla de Amortizacion'!S103,8),ROUND('Tabla de Amortizacion'!W103,8))))))</f>
        <v>0</v>
      </c>
      <c r="D102" s="154">
        <f>IF('CALCULADORA TIPS E-6'!$F$10="Contractual",ROUND('Tabla de Amortizacion'!D103,8),IF('CALCULADORA TIPS E-6'!$F$10="6% (Medio)",ROUND('Tabla de Amortizacion'!H103,8),IF('CALCULADORA TIPS E-6'!$F$10="10% (Medio Alto)",ROUND('Tabla de Amortizacion'!L103,8),IF('CALCULADORA TIPS E-6'!$F$10="14% (Alto)",ROUND('Tabla de Amortizacion'!P103,8),IF('CALCULADORA TIPS E-6'!$F$10=20%,ROUND('Tabla de Amortizacion'!T103,8),ROUND('Tabla de Amortizacion'!X103,8))))))</f>
        <v>0</v>
      </c>
    </row>
    <row r="103" spans="1:4" ht="12.75">
      <c r="A103" s="153">
        <f t="shared" si="3"/>
        <v>41446</v>
      </c>
      <c r="B103" s="154">
        <f>IF('CALCULADORA TIPS E-6'!$F$10="Contractual",ROUND('Tabla de Amortizacion'!B104,8),IF('CALCULADORA TIPS E-6'!$F$10="6% (Medio)",ROUND('Tabla de Amortizacion'!F104,8),IF('CALCULADORA TIPS E-6'!$F$10="10% (Medio Alto)",ROUND('Tabla de Amortizacion'!J104,8),IF('CALCULADORA TIPS E-6'!$F$10="14% (Alto)",ROUND('Tabla de Amortizacion'!N104,8),IF('CALCULADORA TIPS E-6'!$F$10=20%,ROUND('Tabla de Amortizacion'!R104,8),ROUND('Tabla de Amortizacion'!V104,8))))))</f>
        <v>0</v>
      </c>
      <c r="C103" s="154">
        <f>IF('CALCULADORA TIPS E-6'!$F$10="Contractual",ROUND('Tabla de Amortizacion'!C104,8),IF('CALCULADORA TIPS E-6'!$F$10="6% (Medio)",ROUND('Tabla de Amortizacion'!G104,8),IF('CALCULADORA TIPS E-6'!$F$10="10% (Medio Alto)",ROUND('Tabla de Amortizacion'!K104,8),IF('CALCULADORA TIPS E-6'!$F$10="14% (Alto)",ROUND('Tabla de Amortizacion'!O104,8),IF('CALCULADORA TIPS E-6'!$F$10=20%,ROUND('Tabla de Amortizacion'!S104,8),ROUND('Tabla de Amortizacion'!W104,8))))))</f>
        <v>0</v>
      </c>
      <c r="D103" s="154">
        <f>IF('CALCULADORA TIPS E-6'!$F$10="Contractual",ROUND('Tabla de Amortizacion'!D104,8),IF('CALCULADORA TIPS E-6'!$F$10="6% (Medio)",ROUND('Tabla de Amortizacion'!H104,8),IF('CALCULADORA TIPS E-6'!$F$10="10% (Medio Alto)",ROUND('Tabla de Amortizacion'!L104,8),IF('CALCULADORA TIPS E-6'!$F$10="14% (Alto)",ROUND('Tabla de Amortizacion'!P104,8),IF('CALCULADORA TIPS E-6'!$F$10=20%,ROUND('Tabla de Amortizacion'!T104,8),ROUND('Tabla de Amortizacion'!X104,8))))))</f>
        <v>0</v>
      </c>
    </row>
    <row r="104" spans="1:4" ht="12.75">
      <c r="A104" s="153">
        <f t="shared" si="3"/>
        <v>41476</v>
      </c>
      <c r="B104" s="154">
        <f>IF('CALCULADORA TIPS E-6'!$F$10="Contractual",ROUND('Tabla de Amortizacion'!B105,8),IF('CALCULADORA TIPS E-6'!$F$10="6% (Medio)",ROUND('Tabla de Amortizacion'!F105,8),IF('CALCULADORA TIPS E-6'!$F$10="10% (Medio Alto)",ROUND('Tabla de Amortizacion'!J105,8),IF('CALCULADORA TIPS E-6'!$F$10="14% (Alto)",ROUND('Tabla de Amortizacion'!N105,8),IF('CALCULADORA TIPS E-6'!$F$10=20%,ROUND('Tabla de Amortizacion'!R105,8),ROUND('Tabla de Amortizacion'!V105,8))))))</f>
        <v>0</v>
      </c>
      <c r="C104" s="154">
        <f>IF('CALCULADORA TIPS E-6'!$F$10="Contractual",ROUND('Tabla de Amortizacion'!C105,8),IF('CALCULADORA TIPS E-6'!$F$10="6% (Medio)",ROUND('Tabla de Amortizacion'!G105,8),IF('CALCULADORA TIPS E-6'!$F$10="10% (Medio Alto)",ROUND('Tabla de Amortizacion'!K105,8),IF('CALCULADORA TIPS E-6'!$F$10="14% (Alto)",ROUND('Tabla de Amortizacion'!O105,8),IF('CALCULADORA TIPS E-6'!$F$10=20%,ROUND('Tabla de Amortizacion'!S105,8),ROUND('Tabla de Amortizacion'!W105,8))))))</f>
        <v>0</v>
      </c>
      <c r="D104" s="154">
        <f>IF('CALCULADORA TIPS E-6'!$F$10="Contractual",ROUND('Tabla de Amortizacion'!D105,8),IF('CALCULADORA TIPS E-6'!$F$10="6% (Medio)",ROUND('Tabla de Amortizacion'!H105,8),IF('CALCULADORA TIPS E-6'!$F$10="10% (Medio Alto)",ROUND('Tabla de Amortizacion'!L105,8),IF('CALCULADORA TIPS E-6'!$F$10="14% (Alto)",ROUND('Tabla de Amortizacion'!P105,8),IF('CALCULADORA TIPS E-6'!$F$10=20%,ROUND('Tabla de Amortizacion'!T105,8),ROUND('Tabla de Amortizacion'!X105,8))))))</f>
        <v>0</v>
      </c>
    </row>
    <row r="105" spans="1:4" ht="12.75">
      <c r="A105" s="153">
        <f t="shared" si="3"/>
        <v>41507</v>
      </c>
      <c r="B105" s="154">
        <f>IF('CALCULADORA TIPS E-6'!$F$10="Contractual",ROUND('Tabla de Amortizacion'!B106,8),IF('CALCULADORA TIPS E-6'!$F$10="6% (Medio)",ROUND('Tabla de Amortizacion'!F106,8),IF('CALCULADORA TIPS E-6'!$F$10="10% (Medio Alto)",ROUND('Tabla de Amortizacion'!J106,8),IF('CALCULADORA TIPS E-6'!$F$10="14% (Alto)",ROUND('Tabla de Amortizacion'!N106,8),IF('CALCULADORA TIPS E-6'!$F$10=20%,ROUND('Tabla de Amortizacion'!R106,8),ROUND('Tabla de Amortizacion'!V106,8))))))</f>
        <v>0</v>
      </c>
      <c r="C105" s="154">
        <f>IF('CALCULADORA TIPS E-6'!$F$10="Contractual",ROUND('Tabla de Amortizacion'!C106,8),IF('CALCULADORA TIPS E-6'!$F$10="6% (Medio)",ROUND('Tabla de Amortizacion'!G106,8),IF('CALCULADORA TIPS E-6'!$F$10="10% (Medio Alto)",ROUND('Tabla de Amortizacion'!K106,8),IF('CALCULADORA TIPS E-6'!$F$10="14% (Alto)",ROUND('Tabla de Amortizacion'!O106,8),IF('CALCULADORA TIPS E-6'!$F$10=20%,ROUND('Tabla de Amortizacion'!S106,8),ROUND('Tabla de Amortizacion'!W106,8))))))</f>
        <v>0</v>
      </c>
      <c r="D105" s="154">
        <f>IF('CALCULADORA TIPS E-6'!$F$10="Contractual",ROUND('Tabla de Amortizacion'!D106,8),IF('CALCULADORA TIPS E-6'!$F$10="6% (Medio)",ROUND('Tabla de Amortizacion'!H106,8),IF('CALCULADORA TIPS E-6'!$F$10="10% (Medio Alto)",ROUND('Tabla de Amortizacion'!L106,8),IF('CALCULADORA TIPS E-6'!$F$10="14% (Alto)",ROUND('Tabla de Amortizacion'!P106,8),IF('CALCULADORA TIPS E-6'!$F$10=20%,ROUND('Tabla de Amortizacion'!T106,8),ROUND('Tabla de Amortizacion'!X106,8))))))</f>
        <v>0</v>
      </c>
    </row>
    <row r="106" spans="1:4" ht="12.75">
      <c r="A106" s="153">
        <f t="shared" si="3"/>
        <v>41538</v>
      </c>
      <c r="B106" s="154">
        <f>IF('CALCULADORA TIPS E-6'!$F$10="Contractual",ROUND('Tabla de Amortizacion'!B107,8),IF('CALCULADORA TIPS E-6'!$F$10="6% (Medio)",ROUND('Tabla de Amortizacion'!F107,8),IF('CALCULADORA TIPS E-6'!$F$10="10% (Medio Alto)",ROUND('Tabla de Amortizacion'!J107,8),IF('CALCULADORA TIPS E-6'!$F$10="14% (Alto)",ROUND('Tabla de Amortizacion'!N107,8),IF('CALCULADORA TIPS E-6'!$F$10=20%,ROUND('Tabla de Amortizacion'!R107,8),ROUND('Tabla de Amortizacion'!V107,8))))))</f>
        <v>0</v>
      </c>
      <c r="C106" s="154">
        <f>IF('CALCULADORA TIPS E-6'!$F$10="Contractual",ROUND('Tabla de Amortizacion'!C107,8),IF('CALCULADORA TIPS E-6'!$F$10="6% (Medio)",ROUND('Tabla de Amortizacion'!G107,8),IF('CALCULADORA TIPS E-6'!$F$10="10% (Medio Alto)",ROUND('Tabla de Amortizacion'!K107,8),IF('CALCULADORA TIPS E-6'!$F$10="14% (Alto)",ROUND('Tabla de Amortizacion'!O107,8),IF('CALCULADORA TIPS E-6'!$F$10=20%,ROUND('Tabla de Amortizacion'!S107,8),ROUND('Tabla de Amortizacion'!W107,8))))))</f>
        <v>0</v>
      </c>
      <c r="D106" s="154">
        <f>IF('CALCULADORA TIPS E-6'!$F$10="Contractual",ROUND('Tabla de Amortizacion'!D107,8),IF('CALCULADORA TIPS E-6'!$F$10="6% (Medio)",ROUND('Tabla de Amortizacion'!H107,8),IF('CALCULADORA TIPS E-6'!$F$10="10% (Medio Alto)",ROUND('Tabla de Amortizacion'!L107,8),IF('CALCULADORA TIPS E-6'!$F$10="14% (Alto)",ROUND('Tabla de Amortizacion'!P107,8),IF('CALCULADORA TIPS E-6'!$F$10=20%,ROUND('Tabla de Amortizacion'!T107,8),ROUND('Tabla de Amortizacion'!X107,8))))))</f>
        <v>0</v>
      </c>
    </row>
    <row r="107" spans="1:4" ht="12.75">
      <c r="A107" s="153">
        <f t="shared" si="3"/>
        <v>41568</v>
      </c>
      <c r="B107" s="154">
        <f>IF('CALCULADORA TIPS E-6'!$F$10="Contractual",ROUND('Tabla de Amortizacion'!B108,8),IF('CALCULADORA TIPS E-6'!$F$10="6% (Medio)",ROUND('Tabla de Amortizacion'!F108,8),IF('CALCULADORA TIPS E-6'!$F$10="10% (Medio Alto)",ROUND('Tabla de Amortizacion'!J108,8),IF('CALCULADORA TIPS E-6'!$F$10="14% (Alto)",ROUND('Tabla de Amortizacion'!N108,8),IF('CALCULADORA TIPS E-6'!$F$10=20%,ROUND('Tabla de Amortizacion'!R108,8),ROUND('Tabla de Amortizacion'!V108,8))))))</f>
        <v>0</v>
      </c>
      <c r="C107" s="154">
        <f>IF('CALCULADORA TIPS E-6'!$F$10="Contractual",ROUND('Tabla de Amortizacion'!C108,8),IF('CALCULADORA TIPS E-6'!$F$10="6% (Medio)",ROUND('Tabla de Amortizacion'!G108,8),IF('CALCULADORA TIPS E-6'!$F$10="10% (Medio Alto)",ROUND('Tabla de Amortizacion'!K108,8),IF('CALCULADORA TIPS E-6'!$F$10="14% (Alto)",ROUND('Tabla de Amortizacion'!O108,8),IF('CALCULADORA TIPS E-6'!$F$10=20%,ROUND('Tabla de Amortizacion'!S108,8),ROUND('Tabla de Amortizacion'!W108,8))))))</f>
        <v>0</v>
      </c>
      <c r="D107" s="154">
        <f>IF('CALCULADORA TIPS E-6'!$F$10="Contractual",ROUND('Tabla de Amortizacion'!D108,8),IF('CALCULADORA TIPS E-6'!$F$10="6% (Medio)",ROUND('Tabla de Amortizacion'!H108,8),IF('CALCULADORA TIPS E-6'!$F$10="10% (Medio Alto)",ROUND('Tabla de Amortizacion'!L108,8),IF('CALCULADORA TIPS E-6'!$F$10="14% (Alto)",ROUND('Tabla de Amortizacion'!P108,8),IF('CALCULADORA TIPS E-6'!$F$10=20%,ROUND('Tabla de Amortizacion'!T108,8),ROUND('Tabla de Amortizacion'!X108,8))))))</f>
        <v>0</v>
      </c>
    </row>
    <row r="108" spans="1:4" ht="12.75">
      <c r="A108" s="153">
        <f t="shared" si="3"/>
        <v>41599</v>
      </c>
      <c r="B108" s="154">
        <f>IF('CALCULADORA TIPS E-6'!$F$10="Contractual",ROUND('Tabla de Amortizacion'!B109,8),IF('CALCULADORA TIPS E-6'!$F$10="6% (Medio)",ROUND('Tabla de Amortizacion'!F109,8),IF('CALCULADORA TIPS E-6'!$F$10="10% (Medio Alto)",ROUND('Tabla de Amortizacion'!J109,8),IF('CALCULADORA TIPS E-6'!$F$10="14% (Alto)",ROUND('Tabla de Amortizacion'!N109,8),IF('CALCULADORA TIPS E-6'!$F$10=20%,ROUND('Tabla de Amortizacion'!R109,8),ROUND('Tabla de Amortizacion'!V109,8))))))</f>
        <v>0</v>
      </c>
      <c r="C108" s="154">
        <f>IF('CALCULADORA TIPS E-6'!$F$10="Contractual",ROUND('Tabla de Amortizacion'!C109,8),IF('CALCULADORA TIPS E-6'!$F$10="6% (Medio)",ROUND('Tabla de Amortizacion'!G109,8),IF('CALCULADORA TIPS E-6'!$F$10="10% (Medio Alto)",ROUND('Tabla de Amortizacion'!K109,8),IF('CALCULADORA TIPS E-6'!$F$10="14% (Alto)",ROUND('Tabla de Amortizacion'!O109,8),IF('CALCULADORA TIPS E-6'!$F$10=20%,ROUND('Tabla de Amortizacion'!S109,8),ROUND('Tabla de Amortizacion'!W109,8))))))</f>
        <v>0</v>
      </c>
      <c r="D108" s="154">
        <f>IF('CALCULADORA TIPS E-6'!$F$10="Contractual",ROUND('Tabla de Amortizacion'!D109,8),IF('CALCULADORA TIPS E-6'!$F$10="6% (Medio)",ROUND('Tabla de Amortizacion'!H109,8),IF('CALCULADORA TIPS E-6'!$F$10="10% (Medio Alto)",ROUND('Tabla de Amortizacion'!L109,8),IF('CALCULADORA TIPS E-6'!$F$10="14% (Alto)",ROUND('Tabla de Amortizacion'!P109,8),IF('CALCULADORA TIPS E-6'!$F$10=20%,ROUND('Tabla de Amortizacion'!T109,8),ROUND('Tabla de Amortizacion'!X109,8))))))</f>
        <v>0</v>
      </c>
    </row>
    <row r="109" spans="1:4" ht="12.75">
      <c r="A109" s="153">
        <f t="shared" si="3"/>
        <v>41629</v>
      </c>
      <c r="B109" s="154">
        <f>IF('CALCULADORA TIPS E-6'!$F$10="Contractual",ROUND('Tabla de Amortizacion'!B110,8),IF('CALCULADORA TIPS E-6'!$F$10="6% (Medio)",ROUND('Tabla de Amortizacion'!F110,8),IF('CALCULADORA TIPS E-6'!$F$10="10% (Medio Alto)",ROUND('Tabla de Amortizacion'!J110,8),IF('CALCULADORA TIPS E-6'!$F$10="14% (Alto)",ROUND('Tabla de Amortizacion'!N110,8),IF('CALCULADORA TIPS E-6'!$F$10=20%,ROUND('Tabla de Amortizacion'!R110,8),ROUND('Tabla de Amortizacion'!V110,8))))))</f>
        <v>0</v>
      </c>
      <c r="C109" s="154">
        <f>IF('CALCULADORA TIPS E-6'!$F$10="Contractual",ROUND('Tabla de Amortizacion'!C110,8),IF('CALCULADORA TIPS E-6'!$F$10="6% (Medio)",ROUND('Tabla de Amortizacion'!G110,8),IF('CALCULADORA TIPS E-6'!$F$10="10% (Medio Alto)",ROUND('Tabla de Amortizacion'!K110,8),IF('CALCULADORA TIPS E-6'!$F$10="14% (Alto)",ROUND('Tabla de Amortizacion'!O110,8),IF('CALCULADORA TIPS E-6'!$F$10=20%,ROUND('Tabla de Amortizacion'!S110,8),ROUND('Tabla de Amortizacion'!W110,8))))))</f>
        <v>0</v>
      </c>
      <c r="D109" s="154">
        <f>IF('CALCULADORA TIPS E-6'!$F$10="Contractual",ROUND('Tabla de Amortizacion'!D110,8),IF('CALCULADORA TIPS E-6'!$F$10="6% (Medio)",ROUND('Tabla de Amortizacion'!H110,8),IF('CALCULADORA TIPS E-6'!$F$10="10% (Medio Alto)",ROUND('Tabla de Amortizacion'!L110,8),IF('CALCULADORA TIPS E-6'!$F$10="14% (Alto)",ROUND('Tabla de Amortizacion'!P110,8),IF('CALCULADORA TIPS E-6'!$F$10=20%,ROUND('Tabla de Amortizacion'!T110,8),ROUND('Tabla de Amortizacion'!X110,8))))))</f>
        <v>0</v>
      </c>
    </row>
    <row r="110" spans="1:4" ht="12.75">
      <c r="A110" s="153">
        <f t="shared" si="3"/>
        <v>41660</v>
      </c>
      <c r="B110" s="154">
        <f>IF('CALCULADORA TIPS E-6'!$F$10="Contractual",ROUND('Tabla de Amortizacion'!B111,8),IF('CALCULADORA TIPS E-6'!$F$10="6% (Medio)",ROUND('Tabla de Amortizacion'!F111,8),IF('CALCULADORA TIPS E-6'!$F$10="10% (Medio Alto)",ROUND('Tabla de Amortizacion'!J111,8),IF('CALCULADORA TIPS E-6'!$F$10="14% (Alto)",ROUND('Tabla de Amortizacion'!N111,8),IF('CALCULADORA TIPS E-6'!$F$10=20%,ROUND('Tabla de Amortizacion'!R111,8),ROUND('Tabla de Amortizacion'!V111,8))))))</f>
        <v>0</v>
      </c>
      <c r="C110" s="154">
        <f>IF('CALCULADORA TIPS E-6'!$F$10="Contractual",ROUND('Tabla de Amortizacion'!C111,8),IF('CALCULADORA TIPS E-6'!$F$10="6% (Medio)",ROUND('Tabla de Amortizacion'!G111,8),IF('CALCULADORA TIPS E-6'!$F$10="10% (Medio Alto)",ROUND('Tabla de Amortizacion'!K111,8),IF('CALCULADORA TIPS E-6'!$F$10="14% (Alto)",ROUND('Tabla de Amortizacion'!O111,8),IF('CALCULADORA TIPS E-6'!$F$10=20%,ROUND('Tabla de Amortizacion'!S111,8),ROUND('Tabla de Amortizacion'!W111,8))))))</f>
        <v>0</v>
      </c>
      <c r="D110" s="154">
        <f>IF('CALCULADORA TIPS E-6'!$F$10="Contractual",ROUND('Tabla de Amortizacion'!D111,8),IF('CALCULADORA TIPS E-6'!$F$10="6% (Medio)",ROUND('Tabla de Amortizacion'!H111,8),IF('CALCULADORA TIPS E-6'!$F$10="10% (Medio Alto)",ROUND('Tabla de Amortizacion'!L111,8),IF('CALCULADORA TIPS E-6'!$F$10="14% (Alto)",ROUND('Tabla de Amortizacion'!P111,8),IF('CALCULADORA TIPS E-6'!$F$10=20%,ROUND('Tabla de Amortizacion'!T111,8),ROUND('Tabla de Amortizacion'!X111,8))))))</f>
        <v>0</v>
      </c>
    </row>
    <row r="111" spans="1:4" ht="12.75">
      <c r="A111" s="153">
        <f t="shared" si="3"/>
        <v>41691</v>
      </c>
      <c r="B111" s="154">
        <f>IF('CALCULADORA TIPS E-6'!$F$10="Contractual",ROUND('Tabla de Amortizacion'!B112,8),IF('CALCULADORA TIPS E-6'!$F$10="6% (Medio)",ROUND('Tabla de Amortizacion'!F112,8),IF('CALCULADORA TIPS E-6'!$F$10="10% (Medio Alto)",ROUND('Tabla de Amortizacion'!J112,8),IF('CALCULADORA TIPS E-6'!$F$10="14% (Alto)",ROUND('Tabla de Amortizacion'!N112,8),IF('CALCULADORA TIPS E-6'!$F$10=20%,ROUND('Tabla de Amortizacion'!R112,8),ROUND('Tabla de Amortizacion'!V112,8))))))</f>
        <v>0</v>
      </c>
      <c r="C111" s="154">
        <f>IF('CALCULADORA TIPS E-6'!$F$10="Contractual",ROUND('Tabla de Amortizacion'!C112,8),IF('CALCULADORA TIPS E-6'!$F$10="6% (Medio)",ROUND('Tabla de Amortizacion'!G112,8),IF('CALCULADORA TIPS E-6'!$F$10="10% (Medio Alto)",ROUND('Tabla de Amortizacion'!K112,8),IF('CALCULADORA TIPS E-6'!$F$10="14% (Alto)",ROUND('Tabla de Amortizacion'!O112,8),IF('CALCULADORA TIPS E-6'!$F$10=20%,ROUND('Tabla de Amortizacion'!S112,8),ROUND('Tabla de Amortizacion'!W112,8))))))</f>
        <v>0</v>
      </c>
      <c r="D111" s="154">
        <f>IF('CALCULADORA TIPS E-6'!$F$10="Contractual",ROUND('Tabla de Amortizacion'!D112,8),IF('CALCULADORA TIPS E-6'!$F$10="6% (Medio)",ROUND('Tabla de Amortizacion'!H112,8),IF('CALCULADORA TIPS E-6'!$F$10="10% (Medio Alto)",ROUND('Tabla de Amortizacion'!L112,8),IF('CALCULADORA TIPS E-6'!$F$10="14% (Alto)",ROUND('Tabla de Amortizacion'!P112,8),IF('CALCULADORA TIPS E-6'!$F$10=20%,ROUND('Tabla de Amortizacion'!T112,8),ROUND('Tabla de Amortizacion'!X112,8))))))</f>
        <v>0</v>
      </c>
    </row>
    <row r="112" spans="1:4" ht="12.75">
      <c r="A112" s="153">
        <f t="shared" si="3"/>
        <v>41719</v>
      </c>
      <c r="B112" s="154">
        <f>IF('CALCULADORA TIPS E-6'!$F$10="Contractual",ROUND('Tabla de Amortizacion'!B113,8),IF('CALCULADORA TIPS E-6'!$F$10="6% (Medio)",ROUND('Tabla de Amortizacion'!F113,8),IF('CALCULADORA TIPS E-6'!$F$10="10% (Medio Alto)",ROUND('Tabla de Amortizacion'!J113,8),IF('CALCULADORA TIPS E-6'!$F$10="14% (Alto)",ROUND('Tabla de Amortizacion'!N113,8),IF('CALCULADORA TIPS E-6'!$F$10=20%,ROUND('Tabla de Amortizacion'!R113,8),ROUND('Tabla de Amortizacion'!V113,8))))))</f>
        <v>0</v>
      </c>
      <c r="C112" s="154">
        <f>IF('CALCULADORA TIPS E-6'!$F$10="Contractual",ROUND('Tabla de Amortizacion'!C113,8),IF('CALCULADORA TIPS E-6'!$F$10="6% (Medio)",ROUND('Tabla de Amortizacion'!G113,8),IF('CALCULADORA TIPS E-6'!$F$10="10% (Medio Alto)",ROUND('Tabla de Amortizacion'!K113,8),IF('CALCULADORA TIPS E-6'!$F$10="14% (Alto)",ROUND('Tabla de Amortizacion'!O113,8),IF('CALCULADORA TIPS E-6'!$F$10=20%,ROUND('Tabla de Amortizacion'!S113,8),ROUND('Tabla de Amortizacion'!W113,8))))))</f>
        <v>0</v>
      </c>
      <c r="D112" s="154">
        <f>IF('CALCULADORA TIPS E-6'!$F$10="Contractual",ROUND('Tabla de Amortizacion'!D113,8),IF('CALCULADORA TIPS E-6'!$F$10="6% (Medio)",ROUND('Tabla de Amortizacion'!H113,8),IF('CALCULADORA TIPS E-6'!$F$10="10% (Medio Alto)",ROUND('Tabla de Amortizacion'!L113,8),IF('CALCULADORA TIPS E-6'!$F$10="14% (Alto)",ROUND('Tabla de Amortizacion'!P113,8),IF('CALCULADORA TIPS E-6'!$F$10=20%,ROUND('Tabla de Amortizacion'!T113,8),ROUND('Tabla de Amortizacion'!X113,8))))))</f>
        <v>0</v>
      </c>
    </row>
    <row r="113" spans="1:4" ht="12.75">
      <c r="A113" s="153">
        <f t="shared" si="3"/>
        <v>41750</v>
      </c>
      <c r="B113" s="154">
        <f>IF('CALCULADORA TIPS E-6'!$F$10="Contractual",ROUND('Tabla de Amortizacion'!B114,8),IF('CALCULADORA TIPS E-6'!$F$10="6% (Medio)",ROUND('Tabla de Amortizacion'!F114,8),IF('CALCULADORA TIPS E-6'!$F$10="10% (Medio Alto)",ROUND('Tabla de Amortizacion'!J114,8),IF('CALCULADORA TIPS E-6'!$F$10="14% (Alto)",ROUND('Tabla de Amortizacion'!N114,8),IF('CALCULADORA TIPS E-6'!$F$10=20%,ROUND('Tabla de Amortizacion'!R114,8),ROUND('Tabla de Amortizacion'!V114,8))))))</f>
        <v>0</v>
      </c>
      <c r="C113" s="154">
        <f>IF('CALCULADORA TIPS E-6'!$F$10="Contractual",ROUND('Tabla de Amortizacion'!C114,8),IF('CALCULADORA TIPS E-6'!$F$10="6% (Medio)",ROUND('Tabla de Amortizacion'!G114,8),IF('CALCULADORA TIPS E-6'!$F$10="10% (Medio Alto)",ROUND('Tabla de Amortizacion'!K114,8),IF('CALCULADORA TIPS E-6'!$F$10="14% (Alto)",ROUND('Tabla de Amortizacion'!O114,8),IF('CALCULADORA TIPS E-6'!$F$10=20%,ROUND('Tabla de Amortizacion'!S114,8),ROUND('Tabla de Amortizacion'!W114,8))))))</f>
        <v>0</v>
      </c>
      <c r="D113" s="154">
        <f>IF('CALCULADORA TIPS E-6'!$F$10="Contractual",ROUND('Tabla de Amortizacion'!D114,8),IF('CALCULADORA TIPS E-6'!$F$10="6% (Medio)",ROUND('Tabla de Amortizacion'!H114,8),IF('CALCULADORA TIPS E-6'!$F$10="10% (Medio Alto)",ROUND('Tabla de Amortizacion'!L114,8),IF('CALCULADORA TIPS E-6'!$F$10="14% (Alto)",ROUND('Tabla de Amortizacion'!P114,8),IF('CALCULADORA TIPS E-6'!$F$10=20%,ROUND('Tabla de Amortizacion'!T114,8),ROUND('Tabla de Amortizacion'!X114,8))))))</f>
        <v>0</v>
      </c>
    </row>
    <row r="114" spans="1:4" ht="12.75">
      <c r="A114" s="153">
        <f t="shared" si="3"/>
        <v>41780</v>
      </c>
      <c r="B114" s="154">
        <f>IF('CALCULADORA TIPS E-6'!$F$10="Contractual",ROUND('Tabla de Amortizacion'!B115,8),IF('CALCULADORA TIPS E-6'!$F$10="6% (Medio)",ROUND('Tabla de Amortizacion'!F115,8),IF('CALCULADORA TIPS E-6'!$F$10="10% (Medio Alto)",ROUND('Tabla de Amortizacion'!J115,8),IF('CALCULADORA TIPS E-6'!$F$10="14% (Alto)",ROUND('Tabla de Amortizacion'!N115,8),IF('CALCULADORA TIPS E-6'!$F$10=20%,ROUND('Tabla de Amortizacion'!R115,8),ROUND('Tabla de Amortizacion'!V115,8))))))</f>
        <v>0</v>
      </c>
      <c r="C114" s="154">
        <f>IF('CALCULADORA TIPS E-6'!$F$10="Contractual",ROUND('Tabla de Amortizacion'!C115,8),IF('CALCULADORA TIPS E-6'!$F$10="6% (Medio)",ROUND('Tabla de Amortizacion'!G115,8),IF('CALCULADORA TIPS E-6'!$F$10="10% (Medio Alto)",ROUND('Tabla de Amortizacion'!K115,8),IF('CALCULADORA TIPS E-6'!$F$10="14% (Alto)",ROUND('Tabla de Amortizacion'!O115,8),IF('CALCULADORA TIPS E-6'!$F$10=20%,ROUND('Tabla de Amortizacion'!S115,8),ROUND('Tabla de Amortizacion'!W115,8))))))</f>
        <v>0</v>
      </c>
      <c r="D114" s="154">
        <f>IF('CALCULADORA TIPS E-6'!$F$10="Contractual",ROUND('Tabla de Amortizacion'!D115,8),IF('CALCULADORA TIPS E-6'!$F$10="6% (Medio)",ROUND('Tabla de Amortizacion'!H115,8),IF('CALCULADORA TIPS E-6'!$F$10="10% (Medio Alto)",ROUND('Tabla de Amortizacion'!L115,8),IF('CALCULADORA TIPS E-6'!$F$10="14% (Alto)",ROUND('Tabla de Amortizacion'!P115,8),IF('CALCULADORA TIPS E-6'!$F$10=20%,ROUND('Tabla de Amortizacion'!T115,8),ROUND('Tabla de Amortizacion'!X115,8))))))</f>
        <v>0</v>
      </c>
    </row>
    <row r="115" spans="1:4" ht="12.75">
      <c r="A115" s="153">
        <f t="shared" si="3"/>
        <v>41811</v>
      </c>
      <c r="B115" s="154">
        <f>IF('CALCULADORA TIPS E-6'!$F$10="Contractual",ROUND('Tabla de Amortizacion'!B116,8),IF('CALCULADORA TIPS E-6'!$F$10="6% (Medio)",ROUND('Tabla de Amortizacion'!F116,8),IF('CALCULADORA TIPS E-6'!$F$10="10% (Medio Alto)",ROUND('Tabla de Amortizacion'!J116,8),IF('CALCULADORA TIPS E-6'!$F$10="14% (Alto)",ROUND('Tabla de Amortizacion'!N116,8),IF('CALCULADORA TIPS E-6'!$F$10=20%,ROUND('Tabla de Amortizacion'!R116,8),ROUND('Tabla de Amortizacion'!V116,8))))))</f>
        <v>0</v>
      </c>
      <c r="C115" s="154">
        <f>IF('CALCULADORA TIPS E-6'!$F$10="Contractual",ROUND('Tabla de Amortizacion'!C116,8),IF('CALCULADORA TIPS E-6'!$F$10="6% (Medio)",ROUND('Tabla de Amortizacion'!G116,8),IF('CALCULADORA TIPS E-6'!$F$10="10% (Medio Alto)",ROUND('Tabla de Amortizacion'!K116,8),IF('CALCULADORA TIPS E-6'!$F$10="14% (Alto)",ROUND('Tabla de Amortizacion'!O116,8),IF('CALCULADORA TIPS E-6'!$F$10=20%,ROUND('Tabla de Amortizacion'!S116,8),ROUND('Tabla de Amortizacion'!W116,8))))))</f>
        <v>0</v>
      </c>
      <c r="D115" s="154">
        <f>IF('CALCULADORA TIPS E-6'!$F$10="Contractual",ROUND('Tabla de Amortizacion'!D116,8),IF('CALCULADORA TIPS E-6'!$F$10="6% (Medio)",ROUND('Tabla de Amortizacion'!H116,8),IF('CALCULADORA TIPS E-6'!$F$10="10% (Medio Alto)",ROUND('Tabla de Amortizacion'!L116,8),IF('CALCULADORA TIPS E-6'!$F$10="14% (Alto)",ROUND('Tabla de Amortizacion'!P116,8),IF('CALCULADORA TIPS E-6'!$F$10=20%,ROUND('Tabla de Amortizacion'!T116,8),ROUND('Tabla de Amortizacion'!X116,8))))))</f>
        <v>0</v>
      </c>
    </row>
    <row r="116" spans="1:4" ht="12.75">
      <c r="A116" s="153">
        <f t="shared" si="3"/>
        <v>41841</v>
      </c>
      <c r="B116" s="154">
        <f>IF('CALCULADORA TIPS E-6'!$F$10="Contractual",ROUND('Tabla de Amortizacion'!B117,8),IF('CALCULADORA TIPS E-6'!$F$10="6% (Medio)",ROUND('Tabla de Amortizacion'!F117,8),IF('CALCULADORA TIPS E-6'!$F$10="10% (Medio Alto)",ROUND('Tabla de Amortizacion'!J117,8),IF('CALCULADORA TIPS E-6'!$F$10="14% (Alto)",ROUND('Tabla de Amortizacion'!N117,8),IF('CALCULADORA TIPS E-6'!$F$10=20%,ROUND('Tabla de Amortizacion'!R117,8),ROUND('Tabla de Amortizacion'!V117,8))))))</f>
        <v>0</v>
      </c>
      <c r="C116" s="154">
        <f>IF('CALCULADORA TIPS E-6'!$F$10="Contractual",ROUND('Tabla de Amortizacion'!C117,8),IF('CALCULADORA TIPS E-6'!$F$10="6% (Medio)",ROUND('Tabla de Amortizacion'!G117,8),IF('CALCULADORA TIPS E-6'!$F$10="10% (Medio Alto)",ROUND('Tabla de Amortizacion'!K117,8),IF('CALCULADORA TIPS E-6'!$F$10="14% (Alto)",ROUND('Tabla de Amortizacion'!O117,8),IF('CALCULADORA TIPS E-6'!$F$10=20%,ROUND('Tabla de Amortizacion'!S117,8),ROUND('Tabla de Amortizacion'!W117,8))))))</f>
        <v>0</v>
      </c>
      <c r="D116" s="154">
        <f>IF('CALCULADORA TIPS E-6'!$F$10="Contractual",ROUND('Tabla de Amortizacion'!D117,8),IF('CALCULADORA TIPS E-6'!$F$10="6% (Medio)",ROUND('Tabla de Amortizacion'!H117,8),IF('CALCULADORA TIPS E-6'!$F$10="10% (Medio Alto)",ROUND('Tabla de Amortizacion'!L117,8),IF('CALCULADORA TIPS E-6'!$F$10="14% (Alto)",ROUND('Tabla de Amortizacion'!P117,8),IF('CALCULADORA TIPS E-6'!$F$10=20%,ROUND('Tabla de Amortizacion'!T117,8),ROUND('Tabla de Amortizacion'!X117,8))))))</f>
        <v>0</v>
      </c>
    </row>
    <row r="117" spans="1:4" ht="12.75">
      <c r="A117" s="153">
        <f t="shared" si="3"/>
        <v>41872</v>
      </c>
      <c r="B117" s="154">
        <f>IF('CALCULADORA TIPS E-6'!$F$10="Contractual",ROUND('Tabla de Amortizacion'!B118,8),IF('CALCULADORA TIPS E-6'!$F$10="6% (Medio)",ROUND('Tabla de Amortizacion'!F118,8),IF('CALCULADORA TIPS E-6'!$F$10="10% (Medio Alto)",ROUND('Tabla de Amortizacion'!J118,8),IF('CALCULADORA TIPS E-6'!$F$10="14% (Alto)",ROUND('Tabla de Amortizacion'!N118,8),IF('CALCULADORA TIPS E-6'!$F$10=20%,ROUND('Tabla de Amortizacion'!R118,8),ROUND('Tabla de Amortizacion'!V118,8))))))</f>
        <v>0</v>
      </c>
      <c r="C117" s="154">
        <f>IF('CALCULADORA TIPS E-6'!$F$10="Contractual",ROUND('Tabla de Amortizacion'!C118,8),IF('CALCULADORA TIPS E-6'!$F$10="6% (Medio)",ROUND('Tabla de Amortizacion'!G118,8),IF('CALCULADORA TIPS E-6'!$F$10="10% (Medio Alto)",ROUND('Tabla de Amortizacion'!K118,8),IF('CALCULADORA TIPS E-6'!$F$10="14% (Alto)",ROUND('Tabla de Amortizacion'!O118,8),IF('CALCULADORA TIPS E-6'!$F$10=20%,ROUND('Tabla de Amortizacion'!S118,8),ROUND('Tabla de Amortizacion'!W118,8))))))</f>
        <v>0</v>
      </c>
      <c r="D117" s="154">
        <f>IF('CALCULADORA TIPS E-6'!$F$10="Contractual",ROUND('Tabla de Amortizacion'!D118,8),IF('CALCULADORA TIPS E-6'!$F$10="6% (Medio)",ROUND('Tabla de Amortizacion'!H118,8),IF('CALCULADORA TIPS E-6'!$F$10="10% (Medio Alto)",ROUND('Tabla de Amortizacion'!L118,8),IF('CALCULADORA TIPS E-6'!$F$10="14% (Alto)",ROUND('Tabla de Amortizacion'!P118,8),IF('CALCULADORA TIPS E-6'!$F$10=20%,ROUND('Tabla de Amortizacion'!T118,8),ROUND('Tabla de Amortizacion'!X118,8))))))</f>
        <v>0</v>
      </c>
    </row>
    <row r="118" spans="1:4" ht="12.75">
      <c r="A118" s="153">
        <f t="shared" si="3"/>
        <v>41903</v>
      </c>
      <c r="B118" s="154">
        <f>IF('CALCULADORA TIPS E-6'!$F$10="Contractual",ROUND('Tabla de Amortizacion'!B119,8),IF('CALCULADORA TIPS E-6'!$F$10="6% (Medio)",ROUND('Tabla de Amortizacion'!F119,8),IF('CALCULADORA TIPS E-6'!$F$10="10% (Medio Alto)",ROUND('Tabla de Amortizacion'!J119,8),IF('CALCULADORA TIPS E-6'!$F$10="14% (Alto)",ROUND('Tabla de Amortizacion'!N119,8),IF('CALCULADORA TIPS E-6'!$F$10=20%,ROUND('Tabla de Amortizacion'!R119,8),ROUND('Tabla de Amortizacion'!V119,8))))))</f>
        <v>0</v>
      </c>
      <c r="C118" s="154">
        <f>IF('CALCULADORA TIPS E-6'!$F$10="Contractual",ROUND('Tabla de Amortizacion'!C119,8),IF('CALCULADORA TIPS E-6'!$F$10="6% (Medio)",ROUND('Tabla de Amortizacion'!G119,8),IF('CALCULADORA TIPS E-6'!$F$10="10% (Medio Alto)",ROUND('Tabla de Amortizacion'!K119,8),IF('CALCULADORA TIPS E-6'!$F$10="14% (Alto)",ROUND('Tabla de Amortizacion'!O119,8),IF('CALCULADORA TIPS E-6'!$F$10=20%,ROUND('Tabla de Amortizacion'!S119,8),ROUND('Tabla de Amortizacion'!W119,8))))))</f>
        <v>0</v>
      </c>
      <c r="D118" s="154">
        <f>IF('CALCULADORA TIPS E-6'!$F$10="Contractual",ROUND('Tabla de Amortizacion'!D119,8),IF('CALCULADORA TIPS E-6'!$F$10="6% (Medio)",ROUND('Tabla de Amortizacion'!H119,8),IF('CALCULADORA TIPS E-6'!$F$10="10% (Medio Alto)",ROUND('Tabla de Amortizacion'!L119,8),IF('CALCULADORA TIPS E-6'!$F$10="14% (Alto)",ROUND('Tabla de Amortizacion'!P119,8),IF('CALCULADORA TIPS E-6'!$F$10=20%,ROUND('Tabla de Amortizacion'!T119,8),ROUND('Tabla de Amortizacion'!X119,8))))))</f>
        <v>0</v>
      </c>
    </row>
    <row r="119" spans="1:4" ht="12.75">
      <c r="A119" s="153">
        <f t="shared" si="3"/>
        <v>41933</v>
      </c>
      <c r="B119" s="154">
        <f>IF('CALCULADORA TIPS E-6'!$F$10="Contractual",ROUND('Tabla de Amortizacion'!B120,8),IF('CALCULADORA TIPS E-6'!$F$10="6% (Medio)",ROUND('Tabla de Amortizacion'!F120,8),IF('CALCULADORA TIPS E-6'!$F$10="10% (Medio Alto)",ROUND('Tabla de Amortizacion'!J120,8),IF('CALCULADORA TIPS E-6'!$F$10="14% (Alto)",ROUND('Tabla de Amortizacion'!N120,8),IF('CALCULADORA TIPS E-6'!$F$10=20%,ROUND('Tabla de Amortizacion'!R120,8),ROUND('Tabla de Amortizacion'!V120,8))))))</f>
        <v>0</v>
      </c>
      <c r="C119" s="154">
        <f>IF('CALCULADORA TIPS E-6'!$F$10="Contractual",ROUND('Tabla de Amortizacion'!C120,8),IF('CALCULADORA TIPS E-6'!$F$10="6% (Medio)",ROUND('Tabla de Amortizacion'!G120,8),IF('CALCULADORA TIPS E-6'!$F$10="10% (Medio Alto)",ROUND('Tabla de Amortizacion'!K120,8),IF('CALCULADORA TIPS E-6'!$F$10="14% (Alto)",ROUND('Tabla de Amortizacion'!O120,8),IF('CALCULADORA TIPS E-6'!$F$10=20%,ROUND('Tabla de Amortizacion'!S120,8),ROUND('Tabla de Amortizacion'!W120,8))))))</f>
        <v>0</v>
      </c>
      <c r="D119" s="154">
        <f>IF('CALCULADORA TIPS E-6'!$F$10="Contractual",ROUND('Tabla de Amortizacion'!D120,8),IF('CALCULADORA TIPS E-6'!$F$10="6% (Medio)",ROUND('Tabla de Amortizacion'!H120,8),IF('CALCULADORA TIPS E-6'!$F$10="10% (Medio Alto)",ROUND('Tabla de Amortizacion'!L120,8),IF('CALCULADORA TIPS E-6'!$F$10="14% (Alto)",ROUND('Tabla de Amortizacion'!P120,8),IF('CALCULADORA TIPS E-6'!$F$10=20%,ROUND('Tabla de Amortizacion'!T120,8),ROUND('Tabla de Amortizacion'!X120,8))))))</f>
        <v>0</v>
      </c>
    </row>
    <row r="120" spans="1:4" ht="12.75">
      <c r="A120" s="153">
        <f t="shared" si="3"/>
        <v>41964</v>
      </c>
      <c r="B120" s="154">
        <f>IF('CALCULADORA TIPS E-6'!$F$10="Contractual",ROUND('Tabla de Amortizacion'!B121,8),IF('CALCULADORA TIPS E-6'!$F$10="6% (Medio)",ROUND('Tabla de Amortizacion'!F121,8),IF('CALCULADORA TIPS E-6'!$F$10="10% (Medio Alto)",ROUND('Tabla de Amortizacion'!J121,8),IF('CALCULADORA TIPS E-6'!$F$10="14% (Alto)",ROUND('Tabla de Amortizacion'!N121,8),IF('CALCULADORA TIPS E-6'!$F$10=20%,ROUND('Tabla de Amortizacion'!R121,8),ROUND('Tabla de Amortizacion'!V121,8))))))</f>
        <v>0</v>
      </c>
      <c r="C120" s="154">
        <f>IF('CALCULADORA TIPS E-6'!$F$10="Contractual",ROUND('Tabla de Amortizacion'!C121,8),IF('CALCULADORA TIPS E-6'!$F$10="6% (Medio)",ROUND('Tabla de Amortizacion'!G121,8),IF('CALCULADORA TIPS E-6'!$F$10="10% (Medio Alto)",ROUND('Tabla de Amortizacion'!K121,8),IF('CALCULADORA TIPS E-6'!$F$10="14% (Alto)",ROUND('Tabla de Amortizacion'!O121,8),IF('CALCULADORA TIPS E-6'!$F$10=20%,ROUND('Tabla de Amortizacion'!S121,8),ROUND('Tabla de Amortizacion'!W121,8))))))</f>
        <v>0</v>
      </c>
      <c r="D120" s="154">
        <f>IF('CALCULADORA TIPS E-6'!$F$10="Contractual",ROUND('Tabla de Amortizacion'!D121,8),IF('CALCULADORA TIPS E-6'!$F$10="6% (Medio)",ROUND('Tabla de Amortizacion'!H121,8),IF('CALCULADORA TIPS E-6'!$F$10="10% (Medio Alto)",ROUND('Tabla de Amortizacion'!L121,8),IF('CALCULADORA TIPS E-6'!$F$10="14% (Alto)",ROUND('Tabla de Amortizacion'!P121,8),IF('CALCULADORA TIPS E-6'!$F$10=20%,ROUND('Tabla de Amortizacion'!T121,8),ROUND('Tabla de Amortizacion'!X121,8))))))</f>
        <v>0</v>
      </c>
    </row>
    <row r="121" spans="1:4" ht="12.75">
      <c r="A121" s="153">
        <f t="shared" si="3"/>
        <v>41994</v>
      </c>
      <c r="B121" s="154">
        <f>IF('CALCULADORA TIPS E-6'!$F$10="Contractual",ROUND('Tabla de Amortizacion'!B122,8),IF('CALCULADORA TIPS E-6'!$F$10="6% (Medio)",ROUND('Tabla de Amortizacion'!F122,8),IF('CALCULADORA TIPS E-6'!$F$10="10% (Medio Alto)",ROUND('Tabla de Amortizacion'!J122,8),IF('CALCULADORA TIPS E-6'!$F$10="14% (Alto)",ROUND('Tabla de Amortizacion'!N122,8),IF('CALCULADORA TIPS E-6'!$F$10=20%,ROUND('Tabla de Amortizacion'!R122,8),ROUND('Tabla de Amortizacion'!V122,8))))))</f>
        <v>0</v>
      </c>
      <c r="C121" s="154">
        <f>IF('CALCULADORA TIPS E-6'!$F$10="Contractual",ROUND('Tabla de Amortizacion'!C122,8),IF('CALCULADORA TIPS E-6'!$F$10="6% (Medio)",ROUND('Tabla de Amortizacion'!G122,8),IF('CALCULADORA TIPS E-6'!$F$10="10% (Medio Alto)",ROUND('Tabla de Amortizacion'!K122,8),IF('CALCULADORA TIPS E-6'!$F$10="14% (Alto)",ROUND('Tabla de Amortizacion'!O122,8),IF('CALCULADORA TIPS E-6'!$F$10=20%,ROUND('Tabla de Amortizacion'!S122,8),ROUND('Tabla de Amortizacion'!W122,8))))))</f>
        <v>0</v>
      </c>
      <c r="D121" s="154">
        <f>IF('CALCULADORA TIPS E-6'!$F$10="Contractual",ROUND('Tabla de Amortizacion'!D122,8),IF('CALCULADORA TIPS E-6'!$F$10="6% (Medio)",ROUND('Tabla de Amortizacion'!H122,8),IF('CALCULADORA TIPS E-6'!$F$10="10% (Medio Alto)",ROUND('Tabla de Amortizacion'!L122,8),IF('CALCULADORA TIPS E-6'!$F$10="14% (Alto)",ROUND('Tabla de Amortizacion'!P122,8),IF('CALCULADORA TIPS E-6'!$F$10=20%,ROUND('Tabla de Amortizacion'!T122,8),ROUND('Tabla de Amortizacion'!X122,8))))))</f>
        <v>0</v>
      </c>
    </row>
    <row r="122" spans="1:4" ht="12.75">
      <c r="A122" s="153">
        <f t="shared" si="3"/>
        <v>42025</v>
      </c>
      <c r="B122" s="154">
        <f>IF('CALCULADORA TIPS E-6'!$F$10="Contractual",ROUND('Tabla de Amortizacion'!B123,8),IF('CALCULADORA TIPS E-6'!$F$10="6% (Medio)",ROUND('Tabla de Amortizacion'!F123,8),IF('CALCULADORA TIPS E-6'!$F$10="10% (Medio Alto)",ROUND('Tabla de Amortizacion'!J123,8),IF('CALCULADORA TIPS E-6'!$F$10="14% (Alto)",ROUND('Tabla de Amortizacion'!N123,8),IF('CALCULADORA TIPS E-6'!$F$10=20%,ROUND('Tabla de Amortizacion'!R123,8),ROUND('Tabla de Amortizacion'!V123,8))))))</f>
        <v>0</v>
      </c>
      <c r="C122" s="154">
        <f>IF('CALCULADORA TIPS E-6'!$F$10="Contractual",ROUND('Tabla de Amortizacion'!C123,8),IF('CALCULADORA TIPS E-6'!$F$10="6% (Medio)",ROUND('Tabla de Amortizacion'!G123,8),IF('CALCULADORA TIPS E-6'!$F$10="10% (Medio Alto)",ROUND('Tabla de Amortizacion'!K123,8),IF('CALCULADORA TIPS E-6'!$F$10="14% (Alto)",ROUND('Tabla de Amortizacion'!O123,8),IF('CALCULADORA TIPS E-6'!$F$10=20%,ROUND('Tabla de Amortizacion'!S123,8),ROUND('Tabla de Amortizacion'!W123,8))))))</f>
        <v>0</v>
      </c>
      <c r="D122" s="154">
        <f>IF('CALCULADORA TIPS E-6'!$F$10="Contractual",ROUND('Tabla de Amortizacion'!D123,8),IF('CALCULADORA TIPS E-6'!$F$10="6% (Medio)",ROUND('Tabla de Amortizacion'!H123,8),IF('CALCULADORA TIPS E-6'!$F$10="10% (Medio Alto)",ROUND('Tabla de Amortizacion'!L123,8),IF('CALCULADORA TIPS E-6'!$F$10="14% (Alto)",ROUND('Tabla de Amortizacion'!P123,8),IF('CALCULADORA TIPS E-6'!$F$10=20%,ROUND('Tabla de Amortizacion'!T123,8),ROUND('Tabla de Amortizacion'!X123,8))))))</f>
        <v>0</v>
      </c>
    </row>
    <row r="123" spans="1:4" ht="12.75">
      <c r="A123" s="153">
        <f t="shared" si="3"/>
        <v>42056</v>
      </c>
      <c r="B123" s="154">
        <f>IF('CALCULADORA TIPS E-6'!$F$10="Contractual",ROUND('Tabla de Amortizacion'!B124,8),IF('CALCULADORA TIPS E-6'!$F$10="6% (Medio)",ROUND('Tabla de Amortizacion'!F124,8),IF('CALCULADORA TIPS E-6'!$F$10="10% (Medio Alto)",ROUND('Tabla de Amortizacion'!J124,8),IF('CALCULADORA TIPS E-6'!$F$10="14% (Alto)",ROUND('Tabla de Amortizacion'!N124,8),IF('CALCULADORA TIPS E-6'!$F$10=20%,ROUND('Tabla de Amortizacion'!R124,8),ROUND('Tabla de Amortizacion'!V124,8))))))</f>
        <v>0</v>
      </c>
      <c r="C123" s="154">
        <f>IF('CALCULADORA TIPS E-6'!$F$10="Contractual",ROUND('Tabla de Amortizacion'!C124,8),IF('CALCULADORA TIPS E-6'!$F$10="6% (Medio)",ROUND('Tabla de Amortizacion'!G124,8),IF('CALCULADORA TIPS E-6'!$F$10="10% (Medio Alto)",ROUND('Tabla de Amortizacion'!K124,8),IF('CALCULADORA TIPS E-6'!$F$10="14% (Alto)",ROUND('Tabla de Amortizacion'!O124,8),IF('CALCULADORA TIPS E-6'!$F$10=20%,ROUND('Tabla de Amortizacion'!S124,8),ROUND('Tabla de Amortizacion'!W124,8))))))</f>
        <v>0</v>
      </c>
      <c r="D123" s="154">
        <f>IF('CALCULADORA TIPS E-6'!$F$10="Contractual",ROUND('Tabla de Amortizacion'!D124,8),IF('CALCULADORA TIPS E-6'!$F$10="6% (Medio)",ROUND('Tabla de Amortizacion'!H124,8),IF('CALCULADORA TIPS E-6'!$F$10="10% (Medio Alto)",ROUND('Tabla de Amortizacion'!L124,8),IF('CALCULADORA TIPS E-6'!$F$10="14% (Alto)",ROUND('Tabla de Amortizacion'!P124,8),IF('CALCULADORA TIPS E-6'!$F$10=20%,ROUND('Tabla de Amortizacion'!T124,8),ROUND('Tabla de Amortizacion'!X124,8))))))</f>
        <v>0</v>
      </c>
    </row>
    <row r="124" spans="1:4" ht="12.75">
      <c r="A124" s="153">
        <f t="shared" si="3"/>
        <v>42084</v>
      </c>
      <c r="B124" s="154">
        <f>IF('CALCULADORA TIPS E-6'!$F$10="Contractual",ROUND('Tabla de Amortizacion'!B125,8),IF('CALCULADORA TIPS E-6'!$F$10="6% (Medio)",ROUND('Tabla de Amortizacion'!F125,8),IF('CALCULADORA TIPS E-6'!$F$10="10% (Medio Alto)",ROUND('Tabla de Amortizacion'!J125,8),IF('CALCULADORA TIPS E-6'!$F$10="14% (Alto)",ROUND('Tabla de Amortizacion'!N125,8),IF('CALCULADORA TIPS E-6'!$F$10=20%,ROUND('Tabla de Amortizacion'!R125,8),ROUND('Tabla de Amortizacion'!V125,8))))))</f>
        <v>0</v>
      </c>
      <c r="C124" s="154">
        <f>IF('CALCULADORA TIPS E-6'!$F$10="Contractual",ROUND('Tabla de Amortizacion'!C125,8),IF('CALCULADORA TIPS E-6'!$F$10="6% (Medio)",ROUND('Tabla de Amortizacion'!G125,8),IF('CALCULADORA TIPS E-6'!$F$10="10% (Medio Alto)",ROUND('Tabla de Amortizacion'!K125,8),IF('CALCULADORA TIPS E-6'!$F$10="14% (Alto)",ROUND('Tabla de Amortizacion'!O125,8),IF('CALCULADORA TIPS E-6'!$F$10=20%,ROUND('Tabla de Amortizacion'!S125,8),ROUND('Tabla de Amortizacion'!W125,8))))))</f>
        <v>0</v>
      </c>
      <c r="D124" s="154">
        <f>IF('CALCULADORA TIPS E-6'!$F$10="Contractual",ROUND('Tabla de Amortizacion'!D125,8),IF('CALCULADORA TIPS E-6'!$F$10="6% (Medio)",ROUND('Tabla de Amortizacion'!H125,8),IF('CALCULADORA TIPS E-6'!$F$10="10% (Medio Alto)",ROUND('Tabla de Amortizacion'!L125,8),IF('CALCULADORA TIPS E-6'!$F$10="14% (Alto)",ROUND('Tabla de Amortizacion'!P125,8),IF('CALCULADORA TIPS E-6'!$F$10=20%,ROUND('Tabla de Amortizacion'!T125,8),ROUND('Tabla de Amortizacion'!X125,8))))))</f>
        <v>0</v>
      </c>
    </row>
    <row r="125" spans="1:4" ht="12.75">
      <c r="A125" s="153">
        <f t="shared" si="3"/>
        <v>42115</v>
      </c>
      <c r="B125" s="154">
        <f>IF('CALCULADORA TIPS E-6'!$F$10="Contractual",ROUND('Tabla de Amortizacion'!B126,8),IF('CALCULADORA TIPS E-6'!$F$10="6% (Medio)",ROUND('Tabla de Amortizacion'!F126,8),IF('CALCULADORA TIPS E-6'!$F$10="10% (Medio Alto)",ROUND('Tabla de Amortizacion'!J126,8),IF('CALCULADORA TIPS E-6'!$F$10="14% (Alto)",ROUND('Tabla de Amortizacion'!N126,8),IF('CALCULADORA TIPS E-6'!$F$10=20%,ROUND('Tabla de Amortizacion'!R126,8),ROUND('Tabla de Amortizacion'!V126,8))))))</f>
        <v>0</v>
      </c>
      <c r="C125" s="154">
        <f>IF('CALCULADORA TIPS E-6'!$F$10="Contractual",ROUND('Tabla de Amortizacion'!C126,8),IF('CALCULADORA TIPS E-6'!$F$10="6% (Medio)",ROUND('Tabla de Amortizacion'!G126,8),IF('CALCULADORA TIPS E-6'!$F$10="10% (Medio Alto)",ROUND('Tabla de Amortizacion'!K126,8),IF('CALCULADORA TIPS E-6'!$F$10="14% (Alto)",ROUND('Tabla de Amortizacion'!O126,8),IF('CALCULADORA TIPS E-6'!$F$10=20%,ROUND('Tabla de Amortizacion'!S126,8),ROUND('Tabla de Amortizacion'!W126,8))))))</f>
        <v>0</v>
      </c>
      <c r="D125" s="154">
        <f>IF('CALCULADORA TIPS E-6'!$F$10="Contractual",ROUND('Tabla de Amortizacion'!D126,8),IF('CALCULADORA TIPS E-6'!$F$10="6% (Medio)",ROUND('Tabla de Amortizacion'!H126,8),IF('CALCULADORA TIPS E-6'!$F$10="10% (Medio Alto)",ROUND('Tabla de Amortizacion'!L126,8),IF('CALCULADORA TIPS E-6'!$F$10="14% (Alto)",ROUND('Tabla de Amortizacion'!P126,8),IF('CALCULADORA TIPS E-6'!$F$10=20%,ROUND('Tabla de Amortizacion'!T126,8),ROUND('Tabla de Amortizacion'!X126,8))))))</f>
        <v>0</v>
      </c>
    </row>
    <row r="126" spans="1:4" ht="12.75">
      <c r="A126" s="153">
        <f t="shared" si="3"/>
        <v>42145</v>
      </c>
      <c r="B126" s="154">
        <f>IF('CALCULADORA TIPS E-6'!$F$10="Contractual",ROUND('Tabla de Amortizacion'!B127,8),IF('CALCULADORA TIPS E-6'!$F$10="6% (Medio)",ROUND('Tabla de Amortizacion'!F127,8),IF('CALCULADORA TIPS E-6'!$F$10="10% (Medio Alto)",ROUND('Tabla de Amortizacion'!J127,8),IF('CALCULADORA TIPS E-6'!$F$10="14% (Alto)",ROUND('Tabla de Amortizacion'!N127,8),IF('CALCULADORA TIPS E-6'!$F$10=20%,ROUND('Tabla de Amortizacion'!R127,8),ROUND('Tabla de Amortizacion'!V127,8))))))</f>
        <v>0</v>
      </c>
      <c r="C126" s="154">
        <f>IF('CALCULADORA TIPS E-6'!$F$10="Contractual",ROUND('Tabla de Amortizacion'!C127,8),IF('CALCULADORA TIPS E-6'!$F$10="6% (Medio)",ROUND('Tabla de Amortizacion'!G127,8),IF('CALCULADORA TIPS E-6'!$F$10="10% (Medio Alto)",ROUND('Tabla de Amortizacion'!K127,8),IF('CALCULADORA TIPS E-6'!$F$10="14% (Alto)",ROUND('Tabla de Amortizacion'!O127,8),IF('CALCULADORA TIPS E-6'!$F$10=20%,ROUND('Tabla de Amortizacion'!S127,8),ROUND('Tabla de Amortizacion'!W127,8))))))</f>
        <v>0</v>
      </c>
      <c r="D126" s="154">
        <f>IF('CALCULADORA TIPS E-6'!$F$10="Contractual",ROUND('Tabla de Amortizacion'!D127,8),IF('CALCULADORA TIPS E-6'!$F$10="6% (Medio)",ROUND('Tabla de Amortizacion'!H127,8),IF('CALCULADORA TIPS E-6'!$F$10="10% (Medio Alto)",ROUND('Tabla de Amortizacion'!L127,8),IF('CALCULADORA TIPS E-6'!$F$10="14% (Alto)",ROUND('Tabla de Amortizacion'!P127,8),IF('CALCULADORA TIPS E-6'!$F$10=20%,ROUND('Tabla de Amortizacion'!T127,8),ROUND('Tabla de Amortizacion'!X127,8))))))</f>
        <v>0</v>
      </c>
    </row>
    <row r="127" spans="1:4" ht="12.75">
      <c r="A127" s="153">
        <f t="shared" si="3"/>
        <v>42176</v>
      </c>
      <c r="B127" s="154">
        <f>IF('CALCULADORA TIPS E-6'!$F$10="Contractual",ROUND('Tabla de Amortizacion'!B128,8),IF('CALCULADORA TIPS E-6'!$F$10="6% (Medio)",ROUND('Tabla de Amortizacion'!F128,8),IF('CALCULADORA TIPS E-6'!$F$10="10% (Medio Alto)",ROUND('Tabla de Amortizacion'!J128,8),IF('CALCULADORA TIPS E-6'!$F$10="14% (Alto)",ROUND('Tabla de Amortizacion'!N128,8),IF('CALCULADORA TIPS E-6'!$F$10=20%,ROUND('Tabla de Amortizacion'!R128,8),ROUND('Tabla de Amortizacion'!V128,8))))))</f>
        <v>0</v>
      </c>
      <c r="C127" s="154">
        <f>IF('CALCULADORA TIPS E-6'!$F$10="Contractual",ROUND('Tabla de Amortizacion'!C128,8),IF('CALCULADORA TIPS E-6'!$F$10="6% (Medio)",ROUND('Tabla de Amortizacion'!G128,8),IF('CALCULADORA TIPS E-6'!$F$10="10% (Medio Alto)",ROUND('Tabla de Amortizacion'!K128,8),IF('CALCULADORA TIPS E-6'!$F$10="14% (Alto)",ROUND('Tabla de Amortizacion'!O128,8),IF('CALCULADORA TIPS E-6'!$F$10=20%,ROUND('Tabla de Amortizacion'!S128,8),ROUND('Tabla de Amortizacion'!W128,8))))))</f>
        <v>0</v>
      </c>
      <c r="D127" s="154">
        <f>IF('CALCULADORA TIPS E-6'!$F$10="Contractual",ROUND('Tabla de Amortizacion'!D128,8),IF('CALCULADORA TIPS E-6'!$F$10="6% (Medio)",ROUND('Tabla de Amortizacion'!H128,8),IF('CALCULADORA TIPS E-6'!$F$10="10% (Medio Alto)",ROUND('Tabla de Amortizacion'!L128,8),IF('CALCULADORA TIPS E-6'!$F$10="14% (Alto)",ROUND('Tabla de Amortizacion'!P128,8),IF('CALCULADORA TIPS E-6'!$F$10=20%,ROUND('Tabla de Amortizacion'!T128,8),ROUND('Tabla de Amortizacion'!X128,8))))))</f>
        <v>0</v>
      </c>
    </row>
    <row r="128" spans="1:4" ht="12.75">
      <c r="A128" s="153">
        <f t="shared" si="3"/>
        <v>42206</v>
      </c>
      <c r="B128" s="154">
        <f>IF('CALCULADORA TIPS E-6'!$F$10="Contractual",ROUND('Tabla de Amortizacion'!B129,8),IF('CALCULADORA TIPS E-6'!$F$10="6% (Medio)",ROUND('Tabla de Amortizacion'!F129,8),IF('CALCULADORA TIPS E-6'!$F$10="10% (Medio Alto)",ROUND('Tabla de Amortizacion'!J129,8),IF('CALCULADORA TIPS E-6'!$F$10="14% (Alto)",ROUND('Tabla de Amortizacion'!N129,8),IF('CALCULADORA TIPS E-6'!$F$10=20%,ROUND('Tabla de Amortizacion'!R129,8),ROUND('Tabla de Amortizacion'!V129,8))))))</f>
        <v>0</v>
      </c>
      <c r="C128" s="154">
        <f>IF('CALCULADORA TIPS E-6'!$F$10="Contractual",ROUND('Tabla de Amortizacion'!C129,8),IF('CALCULADORA TIPS E-6'!$F$10="6% (Medio)",ROUND('Tabla de Amortizacion'!G129,8),IF('CALCULADORA TIPS E-6'!$F$10="10% (Medio Alto)",ROUND('Tabla de Amortizacion'!K129,8),IF('CALCULADORA TIPS E-6'!$F$10="14% (Alto)",ROUND('Tabla de Amortizacion'!O129,8),IF('CALCULADORA TIPS E-6'!$F$10=20%,ROUND('Tabla de Amortizacion'!S129,8),ROUND('Tabla de Amortizacion'!W129,8))))))</f>
        <v>0</v>
      </c>
      <c r="D128" s="154">
        <f>IF('CALCULADORA TIPS E-6'!$F$10="Contractual",ROUND('Tabla de Amortizacion'!D129,8),IF('CALCULADORA TIPS E-6'!$F$10="6% (Medio)",ROUND('Tabla de Amortizacion'!H129,8),IF('CALCULADORA TIPS E-6'!$F$10="10% (Medio Alto)",ROUND('Tabla de Amortizacion'!L129,8),IF('CALCULADORA TIPS E-6'!$F$10="14% (Alto)",ROUND('Tabla de Amortizacion'!P129,8),IF('CALCULADORA TIPS E-6'!$F$10=20%,ROUND('Tabla de Amortizacion'!T129,8),ROUND('Tabla de Amortizacion'!X129,8))))))</f>
        <v>0</v>
      </c>
    </row>
    <row r="129" spans="1:4" ht="12.75">
      <c r="A129" s="153">
        <f t="shared" si="3"/>
        <v>42237</v>
      </c>
      <c r="B129" s="154">
        <f>IF('CALCULADORA TIPS E-6'!$F$10="Contractual",ROUND('Tabla de Amortizacion'!B130,8),IF('CALCULADORA TIPS E-6'!$F$10="6% (Medio)",ROUND('Tabla de Amortizacion'!F130,8),IF('CALCULADORA TIPS E-6'!$F$10="10% (Medio Alto)",ROUND('Tabla de Amortizacion'!J130,8),IF('CALCULADORA TIPS E-6'!$F$10="14% (Alto)",ROUND('Tabla de Amortizacion'!N130,8),IF('CALCULADORA TIPS E-6'!$F$10=20%,ROUND('Tabla de Amortizacion'!R130,8),ROUND('Tabla de Amortizacion'!V130,8))))))</f>
        <v>0</v>
      </c>
      <c r="C129" s="154">
        <f>IF('CALCULADORA TIPS E-6'!$F$10="Contractual",ROUND('Tabla de Amortizacion'!C130,8),IF('CALCULADORA TIPS E-6'!$F$10="6% (Medio)",ROUND('Tabla de Amortizacion'!G130,8),IF('CALCULADORA TIPS E-6'!$F$10="10% (Medio Alto)",ROUND('Tabla de Amortizacion'!K130,8),IF('CALCULADORA TIPS E-6'!$F$10="14% (Alto)",ROUND('Tabla de Amortizacion'!O130,8),IF('CALCULADORA TIPS E-6'!$F$10=20%,ROUND('Tabla de Amortizacion'!S130,8),ROUND('Tabla de Amortizacion'!W130,8))))))</f>
        <v>0</v>
      </c>
      <c r="D129" s="154">
        <f>IF('CALCULADORA TIPS E-6'!$F$10="Contractual",ROUND('Tabla de Amortizacion'!D130,8),IF('CALCULADORA TIPS E-6'!$F$10="6% (Medio)",ROUND('Tabla de Amortizacion'!H130,8),IF('CALCULADORA TIPS E-6'!$F$10="10% (Medio Alto)",ROUND('Tabla de Amortizacion'!L130,8),IF('CALCULADORA TIPS E-6'!$F$10="14% (Alto)",ROUND('Tabla de Amortizacion'!P130,8),IF('CALCULADORA TIPS E-6'!$F$10=20%,ROUND('Tabla de Amortizacion'!T130,8),ROUND('Tabla de Amortizacion'!X130,8))))))</f>
        <v>0</v>
      </c>
    </row>
    <row r="130" spans="1:4" ht="12.75">
      <c r="A130" s="153">
        <f t="shared" si="3"/>
        <v>42268</v>
      </c>
      <c r="B130" s="154">
        <f>IF('CALCULADORA TIPS E-6'!$F$10="Contractual",ROUND('Tabla de Amortizacion'!B131,8),IF('CALCULADORA TIPS E-6'!$F$10="6% (Medio)",ROUND('Tabla de Amortizacion'!F131,8),IF('CALCULADORA TIPS E-6'!$F$10="10% (Medio Alto)",ROUND('Tabla de Amortizacion'!J131,8),IF('CALCULADORA TIPS E-6'!$F$10="14% (Alto)",ROUND('Tabla de Amortizacion'!N131,8),IF('CALCULADORA TIPS E-6'!$F$10=20%,ROUND('Tabla de Amortizacion'!R131,8),ROUND('Tabla de Amortizacion'!V131,8))))))</f>
        <v>0</v>
      </c>
      <c r="C130" s="154">
        <f>IF('CALCULADORA TIPS E-6'!$F$10="Contractual",ROUND('Tabla de Amortizacion'!C131,8),IF('CALCULADORA TIPS E-6'!$F$10="6% (Medio)",ROUND('Tabla de Amortizacion'!G131,8),IF('CALCULADORA TIPS E-6'!$F$10="10% (Medio Alto)",ROUND('Tabla de Amortizacion'!K131,8),IF('CALCULADORA TIPS E-6'!$F$10="14% (Alto)",ROUND('Tabla de Amortizacion'!O131,8),IF('CALCULADORA TIPS E-6'!$F$10=20%,ROUND('Tabla de Amortizacion'!S131,8),ROUND('Tabla de Amortizacion'!W131,8))))))</f>
        <v>0</v>
      </c>
      <c r="D130" s="154">
        <f>IF('CALCULADORA TIPS E-6'!$F$10="Contractual",ROUND('Tabla de Amortizacion'!D131,8),IF('CALCULADORA TIPS E-6'!$F$10="6% (Medio)",ROUND('Tabla de Amortizacion'!H131,8),IF('CALCULADORA TIPS E-6'!$F$10="10% (Medio Alto)",ROUND('Tabla de Amortizacion'!L131,8),IF('CALCULADORA TIPS E-6'!$F$10="14% (Alto)",ROUND('Tabla de Amortizacion'!P131,8),IF('CALCULADORA TIPS E-6'!$F$10=20%,ROUND('Tabla de Amortizacion'!T131,8),ROUND('Tabla de Amortizacion'!X131,8))))))</f>
        <v>0</v>
      </c>
    </row>
    <row r="131" spans="1:4" ht="12.75">
      <c r="A131" s="153">
        <f aca="true" t="shared" si="4" ref="A131:A162">_XLL.FECHA.MES(A130,1)</f>
        <v>42298</v>
      </c>
      <c r="B131" s="154">
        <f>IF('CALCULADORA TIPS E-6'!$F$10="Contractual",ROUND('Tabla de Amortizacion'!B132,8),IF('CALCULADORA TIPS E-6'!$F$10="6% (Medio)",ROUND('Tabla de Amortizacion'!F132,8),IF('CALCULADORA TIPS E-6'!$F$10="10% (Medio Alto)",ROUND('Tabla de Amortizacion'!J132,8),IF('CALCULADORA TIPS E-6'!$F$10="14% (Alto)",ROUND('Tabla de Amortizacion'!N132,8),IF('CALCULADORA TIPS E-6'!$F$10=20%,ROUND('Tabla de Amortizacion'!R132,8),ROUND('Tabla de Amortizacion'!V132,8))))))</f>
        <v>0</v>
      </c>
      <c r="C131" s="154">
        <f>IF('CALCULADORA TIPS E-6'!$F$10="Contractual",ROUND('Tabla de Amortizacion'!C132,8),IF('CALCULADORA TIPS E-6'!$F$10="6% (Medio)",ROUND('Tabla de Amortizacion'!G132,8),IF('CALCULADORA TIPS E-6'!$F$10="10% (Medio Alto)",ROUND('Tabla de Amortizacion'!K132,8),IF('CALCULADORA TIPS E-6'!$F$10="14% (Alto)",ROUND('Tabla de Amortizacion'!O132,8),IF('CALCULADORA TIPS E-6'!$F$10=20%,ROUND('Tabla de Amortizacion'!S132,8),ROUND('Tabla de Amortizacion'!W132,8))))))</f>
        <v>0</v>
      </c>
      <c r="D131" s="154">
        <f>IF('CALCULADORA TIPS E-6'!$F$10="Contractual",ROUND('Tabla de Amortizacion'!D132,8),IF('CALCULADORA TIPS E-6'!$F$10="6% (Medio)",ROUND('Tabla de Amortizacion'!H132,8),IF('CALCULADORA TIPS E-6'!$F$10="10% (Medio Alto)",ROUND('Tabla de Amortizacion'!L132,8),IF('CALCULADORA TIPS E-6'!$F$10="14% (Alto)",ROUND('Tabla de Amortizacion'!P132,8),IF('CALCULADORA TIPS E-6'!$F$10=20%,ROUND('Tabla de Amortizacion'!T132,8),ROUND('Tabla de Amortizacion'!X132,8))))))</f>
        <v>0</v>
      </c>
    </row>
    <row r="132" spans="1:4" ht="12.75">
      <c r="A132" s="153">
        <f t="shared" si="4"/>
        <v>42329</v>
      </c>
      <c r="B132" s="154">
        <f>IF('CALCULADORA TIPS E-6'!$F$10="Contractual",ROUND('Tabla de Amortizacion'!B133,8),IF('CALCULADORA TIPS E-6'!$F$10="6% (Medio)",ROUND('Tabla de Amortizacion'!F133,8),IF('CALCULADORA TIPS E-6'!$F$10="10% (Medio Alto)",ROUND('Tabla de Amortizacion'!J133,8),IF('CALCULADORA TIPS E-6'!$F$10="14% (Alto)",ROUND('Tabla de Amortizacion'!N133,8),IF('CALCULADORA TIPS E-6'!$F$10=20%,ROUND('Tabla de Amortizacion'!R133,8),ROUND('Tabla de Amortizacion'!V133,8))))))</f>
        <v>0</v>
      </c>
      <c r="C132" s="154">
        <f>IF('CALCULADORA TIPS E-6'!$F$10="Contractual",ROUND('Tabla de Amortizacion'!C133,8),IF('CALCULADORA TIPS E-6'!$F$10="6% (Medio)",ROUND('Tabla de Amortizacion'!G133,8),IF('CALCULADORA TIPS E-6'!$F$10="10% (Medio Alto)",ROUND('Tabla de Amortizacion'!K133,8),IF('CALCULADORA TIPS E-6'!$F$10="14% (Alto)",ROUND('Tabla de Amortizacion'!O133,8),IF('CALCULADORA TIPS E-6'!$F$10=20%,ROUND('Tabla de Amortizacion'!S133,8),ROUND('Tabla de Amortizacion'!W133,8))))))</f>
        <v>0</v>
      </c>
      <c r="D132" s="154">
        <f>IF('CALCULADORA TIPS E-6'!$F$10="Contractual",ROUND('Tabla de Amortizacion'!D133,8),IF('CALCULADORA TIPS E-6'!$F$10="6% (Medio)",ROUND('Tabla de Amortizacion'!H133,8),IF('CALCULADORA TIPS E-6'!$F$10="10% (Medio Alto)",ROUND('Tabla de Amortizacion'!L133,8),IF('CALCULADORA TIPS E-6'!$F$10="14% (Alto)",ROUND('Tabla de Amortizacion'!P133,8),IF('CALCULADORA TIPS E-6'!$F$10=20%,ROUND('Tabla de Amortizacion'!T133,8),ROUND('Tabla de Amortizacion'!X133,8))))))</f>
        <v>0</v>
      </c>
    </row>
    <row r="133" spans="1:4" ht="12.75">
      <c r="A133" s="153">
        <f t="shared" si="4"/>
        <v>42359</v>
      </c>
      <c r="B133" s="154">
        <f>IF('CALCULADORA TIPS E-6'!$F$10="Contractual",ROUND('Tabla de Amortizacion'!B134,8),IF('CALCULADORA TIPS E-6'!$F$10="6% (Medio)",ROUND('Tabla de Amortizacion'!F134,8),IF('CALCULADORA TIPS E-6'!$F$10="10% (Medio Alto)",ROUND('Tabla de Amortizacion'!J134,8),IF('CALCULADORA TIPS E-6'!$F$10="14% (Alto)",ROUND('Tabla de Amortizacion'!N134,8),IF('CALCULADORA TIPS E-6'!$F$10=20%,ROUND('Tabla de Amortizacion'!R134,8),ROUND('Tabla de Amortizacion'!V134,8))))))</f>
        <v>0</v>
      </c>
      <c r="C133" s="154">
        <f>IF('CALCULADORA TIPS E-6'!$F$10="Contractual",ROUND('Tabla de Amortizacion'!C134,8),IF('CALCULADORA TIPS E-6'!$F$10="6% (Medio)",ROUND('Tabla de Amortizacion'!G134,8),IF('CALCULADORA TIPS E-6'!$F$10="10% (Medio Alto)",ROUND('Tabla de Amortizacion'!K134,8),IF('CALCULADORA TIPS E-6'!$F$10="14% (Alto)",ROUND('Tabla de Amortizacion'!O134,8),IF('CALCULADORA TIPS E-6'!$F$10=20%,ROUND('Tabla de Amortizacion'!S134,8),ROUND('Tabla de Amortizacion'!W134,8))))))</f>
        <v>0</v>
      </c>
      <c r="D133" s="154">
        <f>IF('CALCULADORA TIPS E-6'!$F$10="Contractual",ROUND('Tabla de Amortizacion'!D134,8),IF('CALCULADORA TIPS E-6'!$F$10="6% (Medio)",ROUND('Tabla de Amortizacion'!H134,8),IF('CALCULADORA TIPS E-6'!$F$10="10% (Medio Alto)",ROUND('Tabla de Amortizacion'!L134,8),IF('CALCULADORA TIPS E-6'!$F$10="14% (Alto)",ROUND('Tabla de Amortizacion'!P134,8),IF('CALCULADORA TIPS E-6'!$F$10=20%,ROUND('Tabla de Amortizacion'!T134,8),ROUND('Tabla de Amortizacion'!X134,8))))))</f>
        <v>0</v>
      </c>
    </row>
    <row r="134" spans="1:4" ht="12.75">
      <c r="A134" s="153">
        <f t="shared" si="4"/>
        <v>42390</v>
      </c>
      <c r="B134" s="154">
        <f>IF('CALCULADORA TIPS E-6'!$F$10="Contractual",ROUND('Tabla de Amortizacion'!B135,8),IF('CALCULADORA TIPS E-6'!$F$10="6% (Medio)",ROUND('Tabla de Amortizacion'!F135,8),IF('CALCULADORA TIPS E-6'!$F$10="10% (Medio Alto)",ROUND('Tabla de Amortizacion'!J135,8),IF('CALCULADORA TIPS E-6'!$F$10="14% (Alto)",ROUND('Tabla de Amortizacion'!N135,8),IF('CALCULADORA TIPS E-6'!$F$10=20%,ROUND('Tabla de Amortizacion'!R135,8),ROUND('Tabla de Amortizacion'!V135,8))))))</f>
        <v>0</v>
      </c>
      <c r="C134" s="154">
        <f>IF('CALCULADORA TIPS E-6'!$F$10="Contractual",ROUND('Tabla de Amortizacion'!C135,8),IF('CALCULADORA TIPS E-6'!$F$10="6% (Medio)",ROUND('Tabla de Amortizacion'!G135,8),IF('CALCULADORA TIPS E-6'!$F$10="10% (Medio Alto)",ROUND('Tabla de Amortizacion'!K135,8),IF('CALCULADORA TIPS E-6'!$F$10="14% (Alto)",ROUND('Tabla de Amortizacion'!O135,8),IF('CALCULADORA TIPS E-6'!$F$10=20%,ROUND('Tabla de Amortizacion'!S135,8),ROUND('Tabla de Amortizacion'!W135,8))))))</f>
        <v>0</v>
      </c>
      <c r="D134" s="154">
        <f>IF('CALCULADORA TIPS E-6'!$F$10="Contractual",ROUND('Tabla de Amortizacion'!D135,8),IF('CALCULADORA TIPS E-6'!$F$10="6% (Medio)",ROUND('Tabla de Amortizacion'!H135,8),IF('CALCULADORA TIPS E-6'!$F$10="10% (Medio Alto)",ROUND('Tabla de Amortizacion'!L135,8),IF('CALCULADORA TIPS E-6'!$F$10="14% (Alto)",ROUND('Tabla de Amortizacion'!P135,8),IF('CALCULADORA TIPS E-6'!$F$10=20%,ROUND('Tabla de Amortizacion'!T135,8),ROUND('Tabla de Amortizacion'!X135,8))))))</f>
        <v>0</v>
      </c>
    </row>
    <row r="135" spans="1:4" ht="12.75">
      <c r="A135" s="153">
        <f t="shared" si="4"/>
        <v>42421</v>
      </c>
      <c r="B135" s="154">
        <f>IF('CALCULADORA TIPS E-6'!$F$10="Contractual",ROUND('Tabla de Amortizacion'!B136,8),IF('CALCULADORA TIPS E-6'!$F$10="6% (Medio)",ROUND('Tabla de Amortizacion'!F136,8),IF('CALCULADORA TIPS E-6'!$F$10="10% (Medio Alto)",ROUND('Tabla de Amortizacion'!J136,8),IF('CALCULADORA TIPS E-6'!$F$10="14% (Alto)",ROUND('Tabla de Amortizacion'!N136,8),IF('CALCULADORA TIPS E-6'!$F$10=20%,ROUND('Tabla de Amortizacion'!R136,8),ROUND('Tabla de Amortizacion'!V136,8))))))</f>
        <v>0</v>
      </c>
      <c r="C135" s="154">
        <f>IF('CALCULADORA TIPS E-6'!$F$10="Contractual",ROUND('Tabla de Amortizacion'!C136,8),IF('CALCULADORA TIPS E-6'!$F$10="6% (Medio)",ROUND('Tabla de Amortizacion'!G136,8),IF('CALCULADORA TIPS E-6'!$F$10="10% (Medio Alto)",ROUND('Tabla de Amortizacion'!K136,8),IF('CALCULADORA TIPS E-6'!$F$10="14% (Alto)",ROUND('Tabla de Amortizacion'!O136,8),IF('CALCULADORA TIPS E-6'!$F$10=20%,ROUND('Tabla de Amortizacion'!S136,8),ROUND('Tabla de Amortizacion'!W136,8))))))</f>
        <v>0</v>
      </c>
      <c r="D135" s="154">
        <f>IF('CALCULADORA TIPS E-6'!$F$10="Contractual",ROUND('Tabla de Amortizacion'!D136,8),IF('CALCULADORA TIPS E-6'!$F$10="6% (Medio)",ROUND('Tabla de Amortizacion'!H136,8),IF('CALCULADORA TIPS E-6'!$F$10="10% (Medio Alto)",ROUND('Tabla de Amortizacion'!L136,8),IF('CALCULADORA TIPS E-6'!$F$10="14% (Alto)",ROUND('Tabla de Amortizacion'!P136,8),IF('CALCULADORA TIPS E-6'!$F$10=20%,ROUND('Tabla de Amortizacion'!T136,8),ROUND('Tabla de Amortizacion'!X136,8))))))</f>
        <v>0</v>
      </c>
    </row>
    <row r="136" spans="1:4" ht="12.75">
      <c r="A136" s="153">
        <f t="shared" si="4"/>
        <v>42450</v>
      </c>
      <c r="B136" s="154">
        <f>IF('CALCULADORA TIPS E-6'!$F$10="Contractual",ROUND('Tabla de Amortizacion'!B137,8),IF('CALCULADORA TIPS E-6'!$F$10="6% (Medio)",ROUND('Tabla de Amortizacion'!F137,8),IF('CALCULADORA TIPS E-6'!$F$10="10% (Medio Alto)",ROUND('Tabla de Amortizacion'!J137,8),IF('CALCULADORA TIPS E-6'!$F$10="14% (Alto)",ROUND('Tabla de Amortizacion'!N137,8),IF('CALCULADORA TIPS E-6'!$F$10=20%,ROUND('Tabla de Amortizacion'!R137,8),ROUND('Tabla de Amortizacion'!V137,8))))))</f>
        <v>0</v>
      </c>
      <c r="C136" s="154">
        <f>IF('CALCULADORA TIPS E-6'!$F$10="Contractual",ROUND('Tabla de Amortizacion'!C137,8),IF('CALCULADORA TIPS E-6'!$F$10="6% (Medio)",ROUND('Tabla de Amortizacion'!G137,8),IF('CALCULADORA TIPS E-6'!$F$10="10% (Medio Alto)",ROUND('Tabla de Amortizacion'!K137,8),IF('CALCULADORA TIPS E-6'!$F$10="14% (Alto)",ROUND('Tabla de Amortizacion'!O137,8),IF('CALCULADORA TIPS E-6'!$F$10=20%,ROUND('Tabla de Amortizacion'!S137,8),ROUND('Tabla de Amortizacion'!W137,8))))))</f>
        <v>0</v>
      </c>
      <c r="D136" s="154">
        <f>IF('CALCULADORA TIPS E-6'!$F$10="Contractual",ROUND('Tabla de Amortizacion'!D137,8),IF('CALCULADORA TIPS E-6'!$F$10="6% (Medio)",ROUND('Tabla de Amortizacion'!H137,8),IF('CALCULADORA TIPS E-6'!$F$10="10% (Medio Alto)",ROUND('Tabla de Amortizacion'!L137,8),IF('CALCULADORA TIPS E-6'!$F$10="14% (Alto)",ROUND('Tabla de Amortizacion'!P137,8),IF('CALCULADORA TIPS E-6'!$F$10=20%,ROUND('Tabla de Amortizacion'!T137,8),ROUND('Tabla de Amortizacion'!X137,8))))))</f>
        <v>0</v>
      </c>
    </row>
    <row r="137" spans="1:4" ht="12.75">
      <c r="A137" s="153">
        <f t="shared" si="4"/>
        <v>42481</v>
      </c>
      <c r="B137" s="154">
        <f>IF('CALCULADORA TIPS E-6'!$F$10="Contractual",ROUND('Tabla de Amortizacion'!B138,8),IF('CALCULADORA TIPS E-6'!$F$10="6% (Medio)",ROUND('Tabla de Amortizacion'!F138,8),IF('CALCULADORA TIPS E-6'!$F$10="10% (Medio Alto)",ROUND('Tabla de Amortizacion'!J138,8),IF('CALCULADORA TIPS E-6'!$F$10="14% (Alto)",ROUND('Tabla de Amortizacion'!N138,8),IF('CALCULADORA TIPS E-6'!$F$10=20%,ROUND('Tabla de Amortizacion'!R138,8),ROUND('Tabla de Amortizacion'!V138,8))))))</f>
        <v>0</v>
      </c>
      <c r="C137" s="154">
        <f>IF('CALCULADORA TIPS E-6'!$F$10="Contractual",ROUND('Tabla de Amortizacion'!C138,8),IF('CALCULADORA TIPS E-6'!$F$10="6% (Medio)",ROUND('Tabla de Amortizacion'!G138,8),IF('CALCULADORA TIPS E-6'!$F$10="10% (Medio Alto)",ROUND('Tabla de Amortizacion'!K138,8),IF('CALCULADORA TIPS E-6'!$F$10="14% (Alto)",ROUND('Tabla de Amortizacion'!O138,8),IF('CALCULADORA TIPS E-6'!$F$10=20%,ROUND('Tabla de Amortizacion'!S138,8),ROUND('Tabla de Amortizacion'!W138,8))))))</f>
        <v>0</v>
      </c>
      <c r="D137" s="154">
        <f>IF('CALCULADORA TIPS E-6'!$F$10="Contractual",ROUND('Tabla de Amortizacion'!D138,8),IF('CALCULADORA TIPS E-6'!$F$10="6% (Medio)",ROUND('Tabla de Amortizacion'!H138,8),IF('CALCULADORA TIPS E-6'!$F$10="10% (Medio Alto)",ROUND('Tabla de Amortizacion'!L138,8),IF('CALCULADORA TIPS E-6'!$F$10="14% (Alto)",ROUND('Tabla de Amortizacion'!P138,8),IF('CALCULADORA TIPS E-6'!$F$10=20%,ROUND('Tabla de Amortizacion'!T138,8),ROUND('Tabla de Amortizacion'!X138,8))))))</f>
        <v>0</v>
      </c>
    </row>
    <row r="138" spans="1:4" ht="12.75">
      <c r="A138" s="153">
        <f t="shared" si="4"/>
        <v>42511</v>
      </c>
      <c r="B138" s="154">
        <f>IF('CALCULADORA TIPS E-6'!$F$10="Contractual",ROUND('Tabla de Amortizacion'!B139,8),IF('CALCULADORA TIPS E-6'!$F$10="6% (Medio)",ROUND('Tabla de Amortizacion'!F139,8),IF('CALCULADORA TIPS E-6'!$F$10="10% (Medio Alto)",ROUND('Tabla de Amortizacion'!J139,8),IF('CALCULADORA TIPS E-6'!$F$10="14% (Alto)",ROUND('Tabla de Amortizacion'!N139,8),IF('CALCULADORA TIPS E-6'!$F$10=20%,ROUND('Tabla de Amortizacion'!R139,8),ROUND('Tabla de Amortizacion'!V139,8))))))</f>
        <v>0</v>
      </c>
      <c r="C138" s="154">
        <f>IF('CALCULADORA TIPS E-6'!$F$10="Contractual",ROUND('Tabla de Amortizacion'!C139,8),IF('CALCULADORA TIPS E-6'!$F$10="6% (Medio)",ROUND('Tabla de Amortizacion'!G139,8),IF('CALCULADORA TIPS E-6'!$F$10="10% (Medio Alto)",ROUND('Tabla de Amortizacion'!K139,8),IF('CALCULADORA TIPS E-6'!$F$10="14% (Alto)",ROUND('Tabla de Amortizacion'!O139,8),IF('CALCULADORA TIPS E-6'!$F$10=20%,ROUND('Tabla de Amortizacion'!S139,8),ROUND('Tabla de Amortizacion'!W139,8))))))</f>
        <v>0</v>
      </c>
      <c r="D138" s="154">
        <f>IF('CALCULADORA TIPS E-6'!$F$10="Contractual",ROUND('Tabla de Amortizacion'!D139,8),IF('CALCULADORA TIPS E-6'!$F$10="6% (Medio)",ROUND('Tabla de Amortizacion'!H139,8),IF('CALCULADORA TIPS E-6'!$F$10="10% (Medio Alto)",ROUND('Tabla de Amortizacion'!L139,8),IF('CALCULADORA TIPS E-6'!$F$10="14% (Alto)",ROUND('Tabla de Amortizacion'!P139,8),IF('CALCULADORA TIPS E-6'!$F$10=20%,ROUND('Tabla de Amortizacion'!T139,8),ROUND('Tabla de Amortizacion'!X139,8))))))</f>
        <v>0</v>
      </c>
    </row>
    <row r="139" spans="1:4" ht="12.75">
      <c r="A139" s="153">
        <f t="shared" si="4"/>
        <v>42542</v>
      </c>
      <c r="B139" s="154">
        <f>IF('CALCULADORA TIPS E-6'!$F$10="Contractual",ROUND('Tabla de Amortizacion'!B140,8),IF('CALCULADORA TIPS E-6'!$F$10="6% (Medio)",ROUND('Tabla de Amortizacion'!F140,8),IF('CALCULADORA TIPS E-6'!$F$10="10% (Medio Alto)",ROUND('Tabla de Amortizacion'!J140,8),IF('CALCULADORA TIPS E-6'!$F$10="14% (Alto)",ROUND('Tabla de Amortizacion'!N140,8),IF('CALCULADORA TIPS E-6'!$F$10=20%,ROUND('Tabla de Amortizacion'!R140,8),ROUND('Tabla de Amortizacion'!V140,8))))))</f>
        <v>0</v>
      </c>
      <c r="C139" s="154">
        <f>IF('CALCULADORA TIPS E-6'!$F$10="Contractual",ROUND('Tabla de Amortizacion'!C140,8),IF('CALCULADORA TIPS E-6'!$F$10="6% (Medio)",ROUND('Tabla de Amortizacion'!G140,8),IF('CALCULADORA TIPS E-6'!$F$10="10% (Medio Alto)",ROUND('Tabla de Amortizacion'!K140,8),IF('CALCULADORA TIPS E-6'!$F$10="14% (Alto)",ROUND('Tabla de Amortizacion'!O140,8),IF('CALCULADORA TIPS E-6'!$F$10=20%,ROUND('Tabla de Amortizacion'!S140,8),ROUND('Tabla de Amortizacion'!W140,8))))))</f>
        <v>0</v>
      </c>
      <c r="D139" s="154">
        <f>IF('CALCULADORA TIPS E-6'!$F$10="Contractual",ROUND('Tabla de Amortizacion'!D140,8),IF('CALCULADORA TIPS E-6'!$F$10="6% (Medio)",ROUND('Tabla de Amortizacion'!H140,8),IF('CALCULADORA TIPS E-6'!$F$10="10% (Medio Alto)",ROUND('Tabla de Amortizacion'!L140,8),IF('CALCULADORA TIPS E-6'!$F$10="14% (Alto)",ROUND('Tabla de Amortizacion'!P140,8),IF('CALCULADORA TIPS E-6'!$F$10=20%,ROUND('Tabla de Amortizacion'!T140,8),ROUND('Tabla de Amortizacion'!X140,8))))))</f>
        <v>0</v>
      </c>
    </row>
    <row r="140" spans="1:4" ht="12.75">
      <c r="A140" s="153">
        <f t="shared" si="4"/>
        <v>42572</v>
      </c>
      <c r="B140" s="154">
        <f>IF('CALCULADORA TIPS E-6'!$F$10="Contractual",ROUND('Tabla de Amortizacion'!B141,8),IF('CALCULADORA TIPS E-6'!$F$10="6% (Medio)",ROUND('Tabla de Amortizacion'!F141,8),IF('CALCULADORA TIPS E-6'!$F$10="10% (Medio Alto)",ROUND('Tabla de Amortizacion'!J141,8),IF('CALCULADORA TIPS E-6'!$F$10="14% (Alto)",ROUND('Tabla de Amortizacion'!N141,8),IF('CALCULADORA TIPS E-6'!$F$10=20%,ROUND('Tabla de Amortizacion'!R141,8),ROUND('Tabla de Amortizacion'!V141,8))))))</f>
        <v>0</v>
      </c>
      <c r="C140" s="154">
        <f>IF('CALCULADORA TIPS E-6'!$F$10="Contractual",ROUND('Tabla de Amortizacion'!C141,8),IF('CALCULADORA TIPS E-6'!$F$10="6% (Medio)",ROUND('Tabla de Amortizacion'!G141,8),IF('CALCULADORA TIPS E-6'!$F$10="10% (Medio Alto)",ROUND('Tabla de Amortizacion'!K141,8),IF('CALCULADORA TIPS E-6'!$F$10="14% (Alto)",ROUND('Tabla de Amortizacion'!O141,8),IF('CALCULADORA TIPS E-6'!$F$10=20%,ROUND('Tabla de Amortizacion'!S141,8),ROUND('Tabla de Amortizacion'!W141,8))))))</f>
        <v>0</v>
      </c>
      <c r="D140" s="154">
        <f>IF('CALCULADORA TIPS E-6'!$F$10="Contractual",ROUND('Tabla de Amortizacion'!D141,8),IF('CALCULADORA TIPS E-6'!$F$10="6% (Medio)",ROUND('Tabla de Amortizacion'!H141,8),IF('CALCULADORA TIPS E-6'!$F$10="10% (Medio Alto)",ROUND('Tabla de Amortizacion'!L141,8),IF('CALCULADORA TIPS E-6'!$F$10="14% (Alto)",ROUND('Tabla de Amortizacion'!P141,8),IF('CALCULADORA TIPS E-6'!$F$10=20%,ROUND('Tabla de Amortizacion'!T141,8),ROUND('Tabla de Amortizacion'!X141,8))))))</f>
        <v>0</v>
      </c>
    </row>
    <row r="141" spans="1:4" ht="12.75">
      <c r="A141" s="153">
        <f t="shared" si="4"/>
        <v>42603</v>
      </c>
      <c r="B141" s="154">
        <f>IF('CALCULADORA TIPS E-6'!$F$10="Contractual",ROUND('Tabla de Amortizacion'!B142,8),IF('CALCULADORA TIPS E-6'!$F$10="6% (Medio)",ROUND('Tabla de Amortizacion'!F142,8),IF('CALCULADORA TIPS E-6'!$F$10="10% (Medio Alto)",ROUND('Tabla de Amortizacion'!J142,8),IF('CALCULADORA TIPS E-6'!$F$10="14% (Alto)",ROUND('Tabla de Amortizacion'!N142,8),IF('CALCULADORA TIPS E-6'!$F$10=20%,ROUND('Tabla de Amortizacion'!R142,8),ROUND('Tabla de Amortizacion'!V142,8))))))</f>
        <v>0</v>
      </c>
      <c r="C141" s="154">
        <f>IF('CALCULADORA TIPS E-6'!$F$10="Contractual",ROUND('Tabla de Amortizacion'!C142,8),IF('CALCULADORA TIPS E-6'!$F$10="6% (Medio)",ROUND('Tabla de Amortizacion'!G142,8),IF('CALCULADORA TIPS E-6'!$F$10="10% (Medio Alto)",ROUND('Tabla de Amortizacion'!K142,8),IF('CALCULADORA TIPS E-6'!$F$10="14% (Alto)",ROUND('Tabla de Amortizacion'!O142,8),IF('CALCULADORA TIPS E-6'!$F$10=20%,ROUND('Tabla de Amortizacion'!S142,8),ROUND('Tabla de Amortizacion'!W142,8))))))</f>
        <v>0</v>
      </c>
      <c r="D141" s="154">
        <f>IF('CALCULADORA TIPS E-6'!$F$10="Contractual",ROUND('Tabla de Amortizacion'!D142,8),IF('CALCULADORA TIPS E-6'!$F$10="6% (Medio)",ROUND('Tabla de Amortizacion'!H142,8),IF('CALCULADORA TIPS E-6'!$F$10="10% (Medio Alto)",ROUND('Tabla de Amortizacion'!L142,8),IF('CALCULADORA TIPS E-6'!$F$10="14% (Alto)",ROUND('Tabla de Amortizacion'!P142,8),IF('CALCULADORA TIPS E-6'!$F$10=20%,ROUND('Tabla de Amortizacion'!T142,8),ROUND('Tabla de Amortizacion'!X142,8))))))</f>
        <v>0</v>
      </c>
    </row>
    <row r="142" spans="1:4" ht="12.75">
      <c r="A142" s="153">
        <f t="shared" si="4"/>
        <v>42634</v>
      </c>
      <c r="B142" s="154">
        <f>IF('CALCULADORA TIPS E-6'!$F$10="Contractual",ROUND('Tabla de Amortizacion'!B143,8),IF('CALCULADORA TIPS E-6'!$F$10="6% (Medio)",ROUND('Tabla de Amortizacion'!F143,8),IF('CALCULADORA TIPS E-6'!$F$10="10% (Medio Alto)",ROUND('Tabla de Amortizacion'!J143,8),IF('CALCULADORA TIPS E-6'!$F$10="14% (Alto)",ROUND('Tabla de Amortizacion'!N143,8),IF('CALCULADORA TIPS E-6'!$F$10=20%,ROUND('Tabla de Amortizacion'!R143,8),ROUND('Tabla de Amortizacion'!V143,8))))))</f>
        <v>0</v>
      </c>
      <c r="C142" s="154">
        <f>IF('CALCULADORA TIPS E-6'!$F$10="Contractual",ROUND('Tabla de Amortizacion'!C143,8),IF('CALCULADORA TIPS E-6'!$F$10="6% (Medio)",ROUND('Tabla de Amortizacion'!G143,8),IF('CALCULADORA TIPS E-6'!$F$10="10% (Medio Alto)",ROUND('Tabla de Amortizacion'!K143,8),IF('CALCULADORA TIPS E-6'!$F$10="14% (Alto)",ROUND('Tabla de Amortizacion'!O143,8),IF('CALCULADORA TIPS E-6'!$F$10=20%,ROUND('Tabla de Amortizacion'!S143,8),ROUND('Tabla de Amortizacion'!W143,8))))))</f>
        <v>0</v>
      </c>
      <c r="D142" s="154">
        <f>IF('CALCULADORA TIPS E-6'!$F$10="Contractual",ROUND('Tabla de Amortizacion'!D143,8),IF('CALCULADORA TIPS E-6'!$F$10="6% (Medio)",ROUND('Tabla de Amortizacion'!H143,8),IF('CALCULADORA TIPS E-6'!$F$10="10% (Medio Alto)",ROUND('Tabla de Amortizacion'!L143,8),IF('CALCULADORA TIPS E-6'!$F$10="14% (Alto)",ROUND('Tabla de Amortizacion'!P143,8),IF('CALCULADORA TIPS E-6'!$F$10=20%,ROUND('Tabla de Amortizacion'!T143,8),ROUND('Tabla de Amortizacion'!X143,8))))))</f>
        <v>0</v>
      </c>
    </row>
    <row r="143" spans="1:4" ht="12.75">
      <c r="A143" s="153">
        <f t="shared" si="4"/>
        <v>42664</v>
      </c>
      <c r="B143" s="154">
        <f>IF('CALCULADORA TIPS E-6'!$F$10="Contractual",ROUND('Tabla de Amortizacion'!B144,8),IF('CALCULADORA TIPS E-6'!$F$10="6% (Medio)",ROUND('Tabla de Amortizacion'!F144,8),IF('CALCULADORA TIPS E-6'!$F$10="10% (Medio Alto)",ROUND('Tabla de Amortizacion'!J144,8),IF('CALCULADORA TIPS E-6'!$F$10="14% (Alto)",ROUND('Tabla de Amortizacion'!N144,8),IF('CALCULADORA TIPS E-6'!$F$10=20%,ROUND('Tabla de Amortizacion'!R144,8),ROUND('Tabla de Amortizacion'!V144,8))))))</f>
        <v>0</v>
      </c>
      <c r="C143" s="154">
        <f>IF('CALCULADORA TIPS E-6'!$F$10="Contractual",ROUND('Tabla de Amortizacion'!C144,8),IF('CALCULADORA TIPS E-6'!$F$10="6% (Medio)",ROUND('Tabla de Amortizacion'!G144,8),IF('CALCULADORA TIPS E-6'!$F$10="10% (Medio Alto)",ROUND('Tabla de Amortizacion'!K144,8),IF('CALCULADORA TIPS E-6'!$F$10="14% (Alto)",ROUND('Tabla de Amortizacion'!O144,8),IF('CALCULADORA TIPS E-6'!$F$10=20%,ROUND('Tabla de Amortizacion'!S144,8),ROUND('Tabla de Amortizacion'!W144,8))))))</f>
        <v>0</v>
      </c>
      <c r="D143" s="154">
        <f>IF('CALCULADORA TIPS E-6'!$F$10="Contractual",ROUND('Tabla de Amortizacion'!D144,8),IF('CALCULADORA TIPS E-6'!$F$10="6% (Medio)",ROUND('Tabla de Amortizacion'!H144,8),IF('CALCULADORA TIPS E-6'!$F$10="10% (Medio Alto)",ROUND('Tabla de Amortizacion'!L144,8),IF('CALCULADORA TIPS E-6'!$F$10="14% (Alto)",ROUND('Tabla de Amortizacion'!P144,8),IF('CALCULADORA TIPS E-6'!$F$10=20%,ROUND('Tabla de Amortizacion'!T144,8),ROUND('Tabla de Amortizacion'!X144,8))))))</f>
        <v>0</v>
      </c>
    </row>
    <row r="144" spans="1:4" ht="12.75">
      <c r="A144" s="153">
        <f t="shared" si="4"/>
        <v>42695</v>
      </c>
      <c r="B144" s="154">
        <f>IF('CALCULADORA TIPS E-6'!$F$10="Contractual",ROUND('Tabla de Amortizacion'!B145,8),IF('CALCULADORA TIPS E-6'!$F$10="6% (Medio)",ROUND('Tabla de Amortizacion'!F145,8),IF('CALCULADORA TIPS E-6'!$F$10="10% (Medio Alto)",ROUND('Tabla de Amortizacion'!J145,8),IF('CALCULADORA TIPS E-6'!$F$10="14% (Alto)",ROUND('Tabla de Amortizacion'!N145,8),IF('CALCULADORA TIPS E-6'!$F$10=20%,ROUND('Tabla de Amortizacion'!R145,8),ROUND('Tabla de Amortizacion'!V145,8))))))</f>
        <v>0</v>
      </c>
      <c r="C144" s="154">
        <f>IF('CALCULADORA TIPS E-6'!$F$10="Contractual",ROUND('Tabla de Amortizacion'!C145,8),IF('CALCULADORA TIPS E-6'!$F$10="6% (Medio)",ROUND('Tabla de Amortizacion'!G145,8),IF('CALCULADORA TIPS E-6'!$F$10="10% (Medio Alto)",ROUND('Tabla de Amortizacion'!K145,8),IF('CALCULADORA TIPS E-6'!$F$10="14% (Alto)",ROUND('Tabla de Amortizacion'!O145,8),IF('CALCULADORA TIPS E-6'!$F$10=20%,ROUND('Tabla de Amortizacion'!S145,8),ROUND('Tabla de Amortizacion'!W145,8))))))</f>
        <v>0</v>
      </c>
      <c r="D144" s="154">
        <f>IF('CALCULADORA TIPS E-6'!$F$10="Contractual",ROUND('Tabla de Amortizacion'!D145,8),IF('CALCULADORA TIPS E-6'!$F$10="6% (Medio)",ROUND('Tabla de Amortizacion'!H145,8),IF('CALCULADORA TIPS E-6'!$F$10="10% (Medio Alto)",ROUND('Tabla de Amortizacion'!L145,8),IF('CALCULADORA TIPS E-6'!$F$10="14% (Alto)",ROUND('Tabla de Amortizacion'!P145,8),IF('CALCULADORA TIPS E-6'!$F$10=20%,ROUND('Tabla de Amortizacion'!T145,8),ROUND('Tabla de Amortizacion'!X145,8))))))</f>
        <v>0</v>
      </c>
    </row>
    <row r="145" spans="1:4" ht="12.75">
      <c r="A145" s="153">
        <f t="shared" si="4"/>
        <v>42725</v>
      </c>
      <c r="B145" s="154">
        <f>IF('CALCULADORA TIPS E-6'!$F$10="Contractual",ROUND('Tabla de Amortizacion'!B146,8),IF('CALCULADORA TIPS E-6'!$F$10="6% (Medio)",ROUND('Tabla de Amortizacion'!F146,8),IF('CALCULADORA TIPS E-6'!$F$10="10% (Medio Alto)",ROUND('Tabla de Amortizacion'!J146,8),IF('CALCULADORA TIPS E-6'!$F$10="14% (Alto)",ROUND('Tabla de Amortizacion'!N146,8),IF('CALCULADORA TIPS E-6'!$F$10=20%,ROUND('Tabla de Amortizacion'!R146,8),ROUND('Tabla de Amortizacion'!V146,8))))))</f>
        <v>0</v>
      </c>
      <c r="C145" s="154">
        <f>IF('CALCULADORA TIPS E-6'!$F$10="Contractual",ROUND('Tabla de Amortizacion'!C146,8),IF('CALCULADORA TIPS E-6'!$F$10="6% (Medio)",ROUND('Tabla de Amortizacion'!G146,8),IF('CALCULADORA TIPS E-6'!$F$10="10% (Medio Alto)",ROUND('Tabla de Amortizacion'!K146,8),IF('CALCULADORA TIPS E-6'!$F$10="14% (Alto)",ROUND('Tabla de Amortizacion'!O146,8),IF('CALCULADORA TIPS E-6'!$F$10=20%,ROUND('Tabla de Amortizacion'!S146,8),ROUND('Tabla de Amortizacion'!W146,8))))))</f>
        <v>0</v>
      </c>
      <c r="D145" s="154">
        <f>IF('CALCULADORA TIPS E-6'!$F$10="Contractual",ROUND('Tabla de Amortizacion'!D146,8),IF('CALCULADORA TIPS E-6'!$F$10="6% (Medio)",ROUND('Tabla de Amortizacion'!H146,8),IF('CALCULADORA TIPS E-6'!$F$10="10% (Medio Alto)",ROUND('Tabla de Amortizacion'!L146,8),IF('CALCULADORA TIPS E-6'!$F$10="14% (Alto)",ROUND('Tabla de Amortizacion'!P146,8),IF('CALCULADORA TIPS E-6'!$F$10=20%,ROUND('Tabla de Amortizacion'!T146,8),ROUND('Tabla de Amortizacion'!X146,8))))))</f>
        <v>0</v>
      </c>
    </row>
    <row r="146" spans="1:4" ht="12.75">
      <c r="A146" s="153">
        <f t="shared" si="4"/>
        <v>42756</v>
      </c>
      <c r="B146" s="154">
        <f>IF('CALCULADORA TIPS E-6'!$F$10="Contractual",ROUND('Tabla de Amortizacion'!B147,8),IF('CALCULADORA TIPS E-6'!$F$10="6% (Medio)",ROUND('Tabla de Amortizacion'!F147,8),IF('CALCULADORA TIPS E-6'!$F$10="10% (Medio Alto)",ROUND('Tabla de Amortizacion'!J147,8),IF('CALCULADORA TIPS E-6'!$F$10="14% (Alto)",ROUND('Tabla de Amortizacion'!N147,8),IF('CALCULADORA TIPS E-6'!$F$10=20%,ROUND('Tabla de Amortizacion'!R147,8),ROUND('Tabla de Amortizacion'!V147,8))))))</f>
        <v>0</v>
      </c>
      <c r="C146" s="154">
        <f>IF('CALCULADORA TIPS E-6'!$F$10="Contractual",ROUND('Tabla de Amortizacion'!C147,8),IF('CALCULADORA TIPS E-6'!$F$10="6% (Medio)",ROUND('Tabla de Amortizacion'!G147,8),IF('CALCULADORA TIPS E-6'!$F$10="10% (Medio Alto)",ROUND('Tabla de Amortizacion'!K147,8),IF('CALCULADORA TIPS E-6'!$F$10="14% (Alto)",ROUND('Tabla de Amortizacion'!O147,8),IF('CALCULADORA TIPS E-6'!$F$10=20%,ROUND('Tabla de Amortizacion'!S147,8),ROUND('Tabla de Amortizacion'!W147,8))))))</f>
        <v>0</v>
      </c>
      <c r="D146" s="154">
        <f>IF('CALCULADORA TIPS E-6'!$F$10="Contractual",ROUND('Tabla de Amortizacion'!D147,8),IF('CALCULADORA TIPS E-6'!$F$10="6% (Medio)",ROUND('Tabla de Amortizacion'!H147,8),IF('CALCULADORA TIPS E-6'!$F$10="10% (Medio Alto)",ROUND('Tabla de Amortizacion'!L147,8),IF('CALCULADORA TIPS E-6'!$F$10="14% (Alto)",ROUND('Tabla de Amortizacion'!P147,8),IF('CALCULADORA TIPS E-6'!$F$10=20%,ROUND('Tabla de Amortizacion'!T147,8),ROUND('Tabla de Amortizacion'!X147,8))))))</f>
        <v>0</v>
      </c>
    </row>
    <row r="147" spans="1:4" ht="12.75">
      <c r="A147" s="153">
        <f t="shared" si="4"/>
        <v>42787</v>
      </c>
      <c r="B147" s="154">
        <f>IF('CALCULADORA TIPS E-6'!$F$10="Contractual",ROUND('Tabla de Amortizacion'!B148,8),IF('CALCULADORA TIPS E-6'!$F$10="6% (Medio)",ROUND('Tabla de Amortizacion'!F148,8),IF('CALCULADORA TIPS E-6'!$F$10="10% (Medio Alto)",ROUND('Tabla de Amortizacion'!J148,8),IF('CALCULADORA TIPS E-6'!$F$10="14% (Alto)",ROUND('Tabla de Amortizacion'!N148,8),IF('CALCULADORA TIPS E-6'!$F$10=20%,ROUND('Tabla de Amortizacion'!R148,8),ROUND('Tabla de Amortizacion'!V148,8))))))</f>
        <v>0</v>
      </c>
      <c r="C147" s="154">
        <f>IF('CALCULADORA TIPS E-6'!$F$10="Contractual",ROUND('Tabla de Amortizacion'!C148,8),IF('CALCULADORA TIPS E-6'!$F$10="6% (Medio)",ROUND('Tabla de Amortizacion'!G148,8),IF('CALCULADORA TIPS E-6'!$F$10="10% (Medio Alto)",ROUND('Tabla de Amortizacion'!K148,8),IF('CALCULADORA TIPS E-6'!$F$10="14% (Alto)",ROUND('Tabla de Amortizacion'!O148,8),IF('CALCULADORA TIPS E-6'!$F$10=20%,ROUND('Tabla de Amortizacion'!S148,8),ROUND('Tabla de Amortizacion'!W148,8))))))</f>
        <v>0</v>
      </c>
      <c r="D147" s="154">
        <f>IF('CALCULADORA TIPS E-6'!$F$10="Contractual",ROUND('Tabla de Amortizacion'!D148,8),IF('CALCULADORA TIPS E-6'!$F$10="6% (Medio)",ROUND('Tabla de Amortizacion'!H148,8),IF('CALCULADORA TIPS E-6'!$F$10="10% (Medio Alto)",ROUND('Tabla de Amortizacion'!L148,8),IF('CALCULADORA TIPS E-6'!$F$10="14% (Alto)",ROUND('Tabla de Amortizacion'!P148,8),IF('CALCULADORA TIPS E-6'!$F$10=20%,ROUND('Tabla de Amortizacion'!T148,8),ROUND('Tabla de Amortizacion'!X148,8))))))</f>
        <v>0</v>
      </c>
    </row>
    <row r="148" spans="1:4" ht="12.75">
      <c r="A148" s="153">
        <f t="shared" si="4"/>
        <v>42815</v>
      </c>
      <c r="B148" s="154">
        <f>IF('CALCULADORA TIPS E-6'!$F$10="Contractual",ROUND('Tabla de Amortizacion'!B149,8),IF('CALCULADORA TIPS E-6'!$F$10="6% (Medio)",ROUND('Tabla de Amortizacion'!F149,8),IF('CALCULADORA TIPS E-6'!$F$10="10% (Medio Alto)",ROUND('Tabla de Amortizacion'!J149,8),IF('CALCULADORA TIPS E-6'!$F$10="14% (Alto)",ROUND('Tabla de Amortizacion'!N149,8),IF('CALCULADORA TIPS E-6'!$F$10=20%,ROUND('Tabla de Amortizacion'!R149,8),ROUND('Tabla de Amortizacion'!V149,8))))))</f>
        <v>0</v>
      </c>
      <c r="C148" s="154">
        <f>IF('CALCULADORA TIPS E-6'!$F$10="Contractual",ROUND('Tabla de Amortizacion'!C149,8),IF('CALCULADORA TIPS E-6'!$F$10="6% (Medio)",ROUND('Tabla de Amortizacion'!G149,8),IF('CALCULADORA TIPS E-6'!$F$10="10% (Medio Alto)",ROUND('Tabla de Amortizacion'!K149,8),IF('CALCULADORA TIPS E-6'!$F$10="14% (Alto)",ROUND('Tabla de Amortizacion'!O149,8),IF('CALCULADORA TIPS E-6'!$F$10=20%,ROUND('Tabla de Amortizacion'!S149,8),ROUND('Tabla de Amortizacion'!W149,8))))))</f>
        <v>0</v>
      </c>
      <c r="D148" s="154">
        <f>IF('CALCULADORA TIPS E-6'!$F$10="Contractual",ROUND('Tabla de Amortizacion'!D149,8),IF('CALCULADORA TIPS E-6'!$F$10="6% (Medio)",ROUND('Tabla de Amortizacion'!H149,8),IF('CALCULADORA TIPS E-6'!$F$10="10% (Medio Alto)",ROUND('Tabla de Amortizacion'!L149,8),IF('CALCULADORA TIPS E-6'!$F$10="14% (Alto)",ROUND('Tabla de Amortizacion'!P149,8),IF('CALCULADORA TIPS E-6'!$F$10=20%,ROUND('Tabla de Amortizacion'!T149,8),ROUND('Tabla de Amortizacion'!X149,8))))))</f>
        <v>0</v>
      </c>
    </row>
    <row r="149" spans="1:4" ht="12.75">
      <c r="A149" s="153">
        <f t="shared" si="4"/>
        <v>42846</v>
      </c>
      <c r="B149" s="154">
        <f>IF('CALCULADORA TIPS E-6'!$F$10="Contractual",ROUND('Tabla de Amortizacion'!B150,8),IF('CALCULADORA TIPS E-6'!$F$10="6% (Medio)",ROUND('Tabla de Amortizacion'!F150,8),IF('CALCULADORA TIPS E-6'!$F$10="10% (Medio Alto)",ROUND('Tabla de Amortizacion'!J150,8),IF('CALCULADORA TIPS E-6'!$F$10="14% (Alto)",ROUND('Tabla de Amortizacion'!N150,8),IF('CALCULADORA TIPS E-6'!$F$10=20%,ROUND('Tabla de Amortizacion'!R150,8),ROUND('Tabla de Amortizacion'!V150,8))))))</f>
        <v>0</v>
      </c>
      <c r="C149" s="154">
        <f>IF('CALCULADORA TIPS E-6'!$F$10="Contractual",ROUND('Tabla de Amortizacion'!C150,8),IF('CALCULADORA TIPS E-6'!$F$10="6% (Medio)",ROUND('Tabla de Amortizacion'!G150,8),IF('CALCULADORA TIPS E-6'!$F$10="10% (Medio Alto)",ROUND('Tabla de Amortizacion'!K150,8),IF('CALCULADORA TIPS E-6'!$F$10="14% (Alto)",ROUND('Tabla de Amortizacion'!O150,8),IF('CALCULADORA TIPS E-6'!$F$10=20%,ROUND('Tabla de Amortizacion'!S150,8),ROUND('Tabla de Amortizacion'!W150,8))))))</f>
        <v>0</v>
      </c>
      <c r="D149" s="154">
        <f>IF('CALCULADORA TIPS E-6'!$F$10="Contractual",ROUND('Tabla de Amortizacion'!D150,8),IF('CALCULADORA TIPS E-6'!$F$10="6% (Medio)",ROUND('Tabla de Amortizacion'!H150,8),IF('CALCULADORA TIPS E-6'!$F$10="10% (Medio Alto)",ROUND('Tabla de Amortizacion'!L150,8),IF('CALCULADORA TIPS E-6'!$F$10="14% (Alto)",ROUND('Tabla de Amortizacion'!P150,8),IF('CALCULADORA TIPS E-6'!$F$10=20%,ROUND('Tabla de Amortizacion'!T150,8),ROUND('Tabla de Amortizacion'!X150,8))))))</f>
        <v>0</v>
      </c>
    </row>
    <row r="150" spans="1:4" ht="12.75">
      <c r="A150" s="153">
        <f t="shared" si="4"/>
        <v>42876</v>
      </c>
      <c r="B150" s="154">
        <f>IF('CALCULADORA TIPS E-6'!$F$10="Contractual",ROUND('Tabla de Amortizacion'!B151,8),IF('CALCULADORA TIPS E-6'!$F$10="6% (Medio)",ROUND('Tabla de Amortizacion'!F151,8),IF('CALCULADORA TIPS E-6'!$F$10="10% (Medio Alto)",ROUND('Tabla de Amortizacion'!J151,8),IF('CALCULADORA TIPS E-6'!$F$10="14% (Alto)",ROUND('Tabla de Amortizacion'!N151,8),IF('CALCULADORA TIPS E-6'!$F$10=20%,ROUND('Tabla de Amortizacion'!R151,8),ROUND('Tabla de Amortizacion'!V151,8))))))</f>
        <v>0</v>
      </c>
      <c r="C150" s="154">
        <f>IF('CALCULADORA TIPS E-6'!$F$10="Contractual",ROUND('Tabla de Amortizacion'!C151,8),IF('CALCULADORA TIPS E-6'!$F$10="6% (Medio)",ROUND('Tabla de Amortizacion'!G151,8),IF('CALCULADORA TIPS E-6'!$F$10="10% (Medio Alto)",ROUND('Tabla de Amortizacion'!K151,8),IF('CALCULADORA TIPS E-6'!$F$10="14% (Alto)",ROUND('Tabla de Amortizacion'!O151,8),IF('CALCULADORA TIPS E-6'!$F$10=20%,ROUND('Tabla de Amortizacion'!S151,8),ROUND('Tabla de Amortizacion'!W151,8))))))</f>
        <v>0</v>
      </c>
      <c r="D150" s="154">
        <f>IF('CALCULADORA TIPS E-6'!$F$10="Contractual",ROUND('Tabla de Amortizacion'!D151,8),IF('CALCULADORA TIPS E-6'!$F$10="6% (Medio)",ROUND('Tabla de Amortizacion'!H151,8),IF('CALCULADORA TIPS E-6'!$F$10="10% (Medio Alto)",ROUND('Tabla de Amortizacion'!L151,8),IF('CALCULADORA TIPS E-6'!$F$10="14% (Alto)",ROUND('Tabla de Amortizacion'!P151,8),IF('CALCULADORA TIPS E-6'!$F$10=20%,ROUND('Tabla de Amortizacion'!T151,8),ROUND('Tabla de Amortizacion'!X151,8))))))</f>
        <v>0</v>
      </c>
    </row>
    <row r="151" spans="1:4" ht="12.75">
      <c r="A151" s="153">
        <f t="shared" si="4"/>
        <v>42907</v>
      </c>
      <c r="B151" s="154">
        <f>IF('CALCULADORA TIPS E-6'!$F$10="Contractual",ROUND('Tabla de Amortizacion'!B152,8),IF('CALCULADORA TIPS E-6'!$F$10="6% (Medio)",ROUND('Tabla de Amortizacion'!F152,8),IF('CALCULADORA TIPS E-6'!$F$10="10% (Medio Alto)",ROUND('Tabla de Amortizacion'!J152,8),IF('CALCULADORA TIPS E-6'!$F$10="14% (Alto)",ROUND('Tabla de Amortizacion'!N152,8),IF('CALCULADORA TIPS E-6'!$F$10=20%,ROUND('Tabla de Amortizacion'!R152,8),ROUND('Tabla de Amortizacion'!V152,8))))))</f>
        <v>0</v>
      </c>
      <c r="C151" s="154">
        <f>IF('CALCULADORA TIPS E-6'!$F$10="Contractual",ROUND('Tabla de Amortizacion'!C152,8),IF('CALCULADORA TIPS E-6'!$F$10="6% (Medio)",ROUND('Tabla de Amortizacion'!G152,8),IF('CALCULADORA TIPS E-6'!$F$10="10% (Medio Alto)",ROUND('Tabla de Amortizacion'!K152,8),IF('CALCULADORA TIPS E-6'!$F$10="14% (Alto)",ROUND('Tabla de Amortizacion'!O152,8),IF('CALCULADORA TIPS E-6'!$F$10=20%,ROUND('Tabla de Amortizacion'!S152,8),ROUND('Tabla de Amortizacion'!W152,8))))))</f>
        <v>0</v>
      </c>
      <c r="D151" s="154">
        <f>IF('CALCULADORA TIPS E-6'!$F$10="Contractual",ROUND('Tabla de Amortizacion'!D152,8),IF('CALCULADORA TIPS E-6'!$F$10="6% (Medio)",ROUND('Tabla de Amortizacion'!H152,8),IF('CALCULADORA TIPS E-6'!$F$10="10% (Medio Alto)",ROUND('Tabla de Amortizacion'!L152,8),IF('CALCULADORA TIPS E-6'!$F$10="14% (Alto)",ROUND('Tabla de Amortizacion'!P152,8),IF('CALCULADORA TIPS E-6'!$F$10=20%,ROUND('Tabla de Amortizacion'!T152,8),ROUND('Tabla de Amortizacion'!X152,8))))))</f>
        <v>0</v>
      </c>
    </row>
    <row r="152" spans="1:4" ht="12.75">
      <c r="A152" s="153">
        <f t="shared" si="4"/>
        <v>42937</v>
      </c>
      <c r="B152" s="154">
        <f>IF('CALCULADORA TIPS E-6'!$F$10="Contractual",ROUND('Tabla de Amortizacion'!B153,8),IF('CALCULADORA TIPS E-6'!$F$10="6% (Medio)",ROUND('Tabla de Amortizacion'!F153,8),IF('CALCULADORA TIPS E-6'!$F$10="10% (Medio Alto)",ROUND('Tabla de Amortizacion'!J153,8),IF('CALCULADORA TIPS E-6'!$F$10="14% (Alto)",ROUND('Tabla de Amortizacion'!N153,8),IF('CALCULADORA TIPS E-6'!$F$10=20%,ROUND('Tabla de Amortizacion'!R153,8),ROUND('Tabla de Amortizacion'!V153,8))))))</f>
        <v>0</v>
      </c>
      <c r="C152" s="154">
        <f>IF('CALCULADORA TIPS E-6'!$F$10="Contractual",ROUND('Tabla de Amortizacion'!C153,8),IF('CALCULADORA TIPS E-6'!$F$10="6% (Medio)",ROUND('Tabla de Amortizacion'!G153,8),IF('CALCULADORA TIPS E-6'!$F$10="10% (Medio Alto)",ROUND('Tabla de Amortizacion'!K153,8),IF('CALCULADORA TIPS E-6'!$F$10="14% (Alto)",ROUND('Tabla de Amortizacion'!O153,8),IF('CALCULADORA TIPS E-6'!$F$10=20%,ROUND('Tabla de Amortizacion'!S153,8),ROUND('Tabla de Amortizacion'!W153,8))))))</f>
        <v>0</v>
      </c>
      <c r="D152" s="154">
        <f>IF('CALCULADORA TIPS E-6'!$F$10="Contractual",ROUND('Tabla de Amortizacion'!D153,8),IF('CALCULADORA TIPS E-6'!$F$10="6% (Medio)",ROUND('Tabla de Amortizacion'!H153,8),IF('CALCULADORA TIPS E-6'!$F$10="10% (Medio Alto)",ROUND('Tabla de Amortizacion'!L153,8),IF('CALCULADORA TIPS E-6'!$F$10="14% (Alto)",ROUND('Tabla de Amortizacion'!P153,8),IF('CALCULADORA TIPS E-6'!$F$10=20%,ROUND('Tabla de Amortizacion'!T153,8),ROUND('Tabla de Amortizacion'!X153,8))))))</f>
        <v>0</v>
      </c>
    </row>
    <row r="153" spans="1:4" ht="12.75">
      <c r="A153" s="153">
        <f t="shared" si="4"/>
        <v>42968</v>
      </c>
      <c r="B153" s="154">
        <f>IF('CALCULADORA TIPS E-6'!$F$10="Contractual",ROUND('Tabla de Amortizacion'!B154,8),IF('CALCULADORA TIPS E-6'!$F$10="6% (Medio)",ROUND('Tabla de Amortizacion'!F154,8),IF('CALCULADORA TIPS E-6'!$F$10="10% (Medio Alto)",ROUND('Tabla de Amortizacion'!J154,8),IF('CALCULADORA TIPS E-6'!$F$10="14% (Alto)",ROUND('Tabla de Amortizacion'!N154,8),IF('CALCULADORA TIPS E-6'!$F$10=20%,ROUND('Tabla de Amortizacion'!R154,8),ROUND('Tabla de Amortizacion'!V154,8))))))</f>
        <v>0</v>
      </c>
      <c r="C153" s="154">
        <f>IF('CALCULADORA TIPS E-6'!$F$10="Contractual",ROUND('Tabla de Amortizacion'!C154,8),IF('CALCULADORA TIPS E-6'!$F$10="6% (Medio)",ROUND('Tabla de Amortizacion'!G154,8),IF('CALCULADORA TIPS E-6'!$F$10="10% (Medio Alto)",ROUND('Tabla de Amortizacion'!K154,8),IF('CALCULADORA TIPS E-6'!$F$10="14% (Alto)",ROUND('Tabla de Amortizacion'!O154,8),IF('CALCULADORA TIPS E-6'!$F$10=20%,ROUND('Tabla de Amortizacion'!S154,8),ROUND('Tabla de Amortizacion'!W154,8))))))</f>
        <v>0</v>
      </c>
      <c r="D153" s="154">
        <f>IF('CALCULADORA TIPS E-6'!$F$10="Contractual",ROUND('Tabla de Amortizacion'!D154,8),IF('CALCULADORA TIPS E-6'!$F$10="6% (Medio)",ROUND('Tabla de Amortizacion'!H154,8),IF('CALCULADORA TIPS E-6'!$F$10="10% (Medio Alto)",ROUND('Tabla de Amortizacion'!L154,8),IF('CALCULADORA TIPS E-6'!$F$10="14% (Alto)",ROUND('Tabla de Amortizacion'!P154,8),IF('CALCULADORA TIPS E-6'!$F$10=20%,ROUND('Tabla de Amortizacion'!T154,8),ROUND('Tabla de Amortizacion'!X154,8))))))</f>
        <v>0</v>
      </c>
    </row>
    <row r="154" spans="1:4" ht="12.75">
      <c r="A154" s="153">
        <f t="shared" si="4"/>
        <v>42999</v>
      </c>
      <c r="B154" s="154">
        <f>IF('CALCULADORA TIPS E-6'!$F$10="Contractual",ROUND('Tabla de Amortizacion'!B155,8),IF('CALCULADORA TIPS E-6'!$F$10="6% (Medio)",ROUND('Tabla de Amortizacion'!F155,8),IF('CALCULADORA TIPS E-6'!$F$10="10% (Medio Alto)",ROUND('Tabla de Amortizacion'!J155,8),IF('CALCULADORA TIPS E-6'!$F$10="14% (Alto)",ROUND('Tabla de Amortizacion'!N155,8),IF('CALCULADORA TIPS E-6'!$F$10=20%,ROUND('Tabla de Amortizacion'!R155,8),ROUND('Tabla de Amortizacion'!V155,8))))))</f>
        <v>0</v>
      </c>
      <c r="C154" s="154">
        <f>IF('CALCULADORA TIPS E-6'!$F$10="Contractual",ROUND('Tabla de Amortizacion'!C155,8),IF('CALCULADORA TIPS E-6'!$F$10="6% (Medio)",ROUND('Tabla de Amortizacion'!G155,8),IF('CALCULADORA TIPS E-6'!$F$10="10% (Medio Alto)",ROUND('Tabla de Amortizacion'!K155,8),IF('CALCULADORA TIPS E-6'!$F$10="14% (Alto)",ROUND('Tabla de Amortizacion'!O155,8),IF('CALCULADORA TIPS E-6'!$F$10=20%,ROUND('Tabla de Amortizacion'!S155,8),ROUND('Tabla de Amortizacion'!W155,8))))))</f>
        <v>0</v>
      </c>
      <c r="D154" s="154">
        <f>IF('CALCULADORA TIPS E-6'!$F$10="Contractual",ROUND('Tabla de Amortizacion'!D155,8),IF('CALCULADORA TIPS E-6'!$F$10="6% (Medio)",ROUND('Tabla de Amortizacion'!H155,8),IF('CALCULADORA TIPS E-6'!$F$10="10% (Medio Alto)",ROUND('Tabla de Amortizacion'!L155,8),IF('CALCULADORA TIPS E-6'!$F$10="14% (Alto)",ROUND('Tabla de Amortizacion'!P155,8),IF('CALCULADORA TIPS E-6'!$F$10=20%,ROUND('Tabla de Amortizacion'!T155,8),ROUND('Tabla de Amortizacion'!X155,8))))))</f>
        <v>0</v>
      </c>
    </row>
    <row r="155" spans="1:4" ht="12.75">
      <c r="A155" s="153">
        <f t="shared" si="4"/>
        <v>43029</v>
      </c>
      <c r="B155" s="154">
        <f>IF('CALCULADORA TIPS E-6'!$F$10="Contractual",ROUND('Tabla de Amortizacion'!B156,8),IF('CALCULADORA TIPS E-6'!$F$10="6% (Medio)",ROUND('Tabla de Amortizacion'!F156,8),IF('CALCULADORA TIPS E-6'!$F$10="10% (Medio Alto)",ROUND('Tabla de Amortizacion'!J156,8),IF('CALCULADORA TIPS E-6'!$F$10="14% (Alto)",ROUND('Tabla de Amortizacion'!N156,8),IF('CALCULADORA TIPS E-6'!$F$10=20%,ROUND('Tabla de Amortizacion'!R156,8),ROUND('Tabla de Amortizacion'!V156,8))))))</f>
        <v>0</v>
      </c>
      <c r="C155" s="154">
        <f>IF('CALCULADORA TIPS E-6'!$F$10="Contractual",ROUND('Tabla de Amortizacion'!C156,8),IF('CALCULADORA TIPS E-6'!$F$10="6% (Medio)",ROUND('Tabla de Amortizacion'!G156,8),IF('CALCULADORA TIPS E-6'!$F$10="10% (Medio Alto)",ROUND('Tabla de Amortizacion'!K156,8),IF('CALCULADORA TIPS E-6'!$F$10="14% (Alto)",ROUND('Tabla de Amortizacion'!O156,8),IF('CALCULADORA TIPS E-6'!$F$10=20%,ROUND('Tabla de Amortizacion'!S156,8),ROUND('Tabla de Amortizacion'!W156,8))))))</f>
        <v>0</v>
      </c>
      <c r="D155" s="154">
        <f>IF('CALCULADORA TIPS E-6'!$F$10="Contractual",ROUND('Tabla de Amortizacion'!D156,8),IF('CALCULADORA TIPS E-6'!$F$10="6% (Medio)",ROUND('Tabla de Amortizacion'!H156,8),IF('CALCULADORA TIPS E-6'!$F$10="10% (Medio Alto)",ROUND('Tabla de Amortizacion'!L156,8),IF('CALCULADORA TIPS E-6'!$F$10="14% (Alto)",ROUND('Tabla de Amortizacion'!P156,8),IF('CALCULADORA TIPS E-6'!$F$10=20%,ROUND('Tabla de Amortizacion'!T156,8),ROUND('Tabla de Amortizacion'!X156,8))))))</f>
        <v>0</v>
      </c>
    </row>
    <row r="156" spans="1:4" ht="12.75">
      <c r="A156" s="153">
        <f t="shared" si="4"/>
        <v>43060</v>
      </c>
      <c r="B156" s="154">
        <f>IF('CALCULADORA TIPS E-6'!$F$10="Contractual",ROUND('Tabla de Amortizacion'!B157,8),IF('CALCULADORA TIPS E-6'!$F$10="6% (Medio)",ROUND('Tabla de Amortizacion'!F157,8),IF('CALCULADORA TIPS E-6'!$F$10="10% (Medio Alto)",ROUND('Tabla de Amortizacion'!J157,8),IF('CALCULADORA TIPS E-6'!$F$10="14% (Alto)",ROUND('Tabla de Amortizacion'!N157,8),IF('CALCULADORA TIPS E-6'!$F$10=20%,ROUND('Tabla de Amortizacion'!R157,8),ROUND('Tabla de Amortizacion'!V157,8))))))</f>
        <v>0</v>
      </c>
      <c r="C156" s="154">
        <f>IF('CALCULADORA TIPS E-6'!$F$10="Contractual",ROUND('Tabla de Amortizacion'!C157,8),IF('CALCULADORA TIPS E-6'!$F$10="6% (Medio)",ROUND('Tabla de Amortizacion'!G157,8),IF('CALCULADORA TIPS E-6'!$F$10="10% (Medio Alto)",ROUND('Tabla de Amortizacion'!K157,8),IF('CALCULADORA TIPS E-6'!$F$10="14% (Alto)",ROUND('Tabla de Amortizacion'!O157,8),IF('CALCULADORA TIPS E-6'!$F$10=20%,ROUND('Tabla de Amortizacion'!S157,8),ROUND('Tabla de Amortizacion'!W157,8))))))</f>
        <v>0</v>
      </c>
      <c r="D156" s="154">
        <f>IF('CALCULADORA TIPS E-6'!$F$10="Contractual",ROUND('Tabla de Amortizacion'!D157,8),IF('CALCULADORA TIPS E-6'!$F$10="6% (Medio)",ROUND('Tabla de Amortizacion'!H157,8),IF('CALCULADORA TIPS E-6'!$F$10="10% (Medio Alto)",ROUND('Tabla de Amortizacion'!L157,8),IF('CALCULADORA TIPS E-6'!$F$10="14% (Alto)",ROUND('Tabla de Amortizacion'!P157,8),IF('CALCULADORA TIPS E-6'!$F$10=20%,ROUND('Tabla de Amortizacion'!T157,8),ROUND('Tabla de Amortizacion'!X157,8))))))</f>
        <v>0</v>
      </c>
    </row>
    <row r="157" spans="1:4" ht="12.75">
      <c r="A157" s="153">
        <f t="shared" si="4"/>
        <v>43090</v>
      </c>
      <c r="B157" s="154">
        <f>IF('CALCULADORA TIPS E-6'!$F$10="Contractual",ROUND('Tabla de Amortizacion'!B158,8),IF('CALCULADORA TIPS E-6'!$F$10="6% (Medio)",ROUND('Tabla de Amortizacion'!F158,8),IF('CALCULADORA TIPS E-6'!$F$10="10% (Medio Alto)",ROUND('Tabla de Amortizacion'!J158,8),IF('CALCULADORA TIPS E-6'!$F$10="14% (Alto)",ROUND('Tabla de Amortizacion'!N158,8),IF('CALCULADORA TIPS E-6'!$F$10=20%,ROUND('Tabla de Amortizacion'!R158,8),ROUND('Tabla de Amortizacion'!V158,8))))))</f>
        <v>0</v>
      </c>
      <c r="C157" s="154">
        <f>IF('CALCULADORA TIPS E-6'!$F$10="Contractual",ROUND('Tabla de Amortizacion'!C158,8),IF('CALCULADORA TIPS E-6'!$F$10="6% (Medio)",ROUND('Tabla de Amortizacion'!G158,8),IF('CALCULADORA TIPS E-6'!$F$10="10% (Medio Alto)",ROUND('Tabla de Amortizacion'!K158,8),IF('CALCULADORA TIPS E-6'!$F$10="14% (Alto)",ROUND('Tabla de Amortizacion'!O158,8),IF('CALCULADORA TIPS E-6'!$F$10=20%,ROUND('Tabla de Amortizacion'!S158,8),ROUND('Tabla de Amortizacion'!W158,8))))))</f>
        <v>0</v>
      </c>
      <c r="D157" s="154">
        <f>IF('CALCULADORA TIPS E-6'!$F$10="Contractual",ROUND('Tabla de Amortizacion'!D158,8),IF('CALCULADORA TIPS E-6'!$F$10="6% (Medio)",ROUND('Tabla de Amortizacion'!H158,8),IF('CALCULADORA TIPS E-6'!$F$10="10% (Medio Alto)",ROUND('Tabla de Amortizacion'!L158,8),IF('CALCULADORA TIPS E-6'!$F$10="14% (Alto)",ROUND('Tabla de Amortizacion'!P158,8),IF('CALCULADORA TIPS E-6'!$F$10=20%,ROUND('Tabla de Amortizacion'!T158,8),ROUND('Tabla de Amortizacion'!X158,8))))))</f>
        <v>0</v>
      </c>
    </row>
    <row r="158" spans="1:4" ht="12.75">
      <c r="A158" s="153">
        <f t="shared" si="4"/>
        <v>43121</v>
      </c>
      <c r="B158" s="154">
        <f>IF('CALCULADORA TIPS E-6'!$F$10="Contractual",ROUND('Tabla de Amortizacion'!B159,8),IF('CALCULADORA TIPS E-6'!$F$10="6% (Medio)",ROUND('Tabla de Amortizacion'!F159,8),IF('CALCULADORA TIPS E-6'!$F$10="10% (Medio Alto)",ROUND('Tabla de Amortizacion'!J159,8),IF('CALCULADORA TIPS E-6'!$F$10="14% (Alto)",ROUND('Tabla de Amortizacion'!N159,8),IF('CALCULADORA TIPS E-6'!$F$10=20%,ROUND('Tabla de Amortizacion'!R159,8),ROUND('Tabla de Amortizacion'!V159,8))))))</f>
        <v>0</v>
      </c>
      <c r="C158" s="154">
        <f>IF('CALCULADORA TIPS E-6'!$F$10="Contractual",ROUND('Tabla de Amortizacion'!C159,8),IF('CALCULADORA TIPS E-6'!$F$10="6% (Medio)",ROUND('Tabla de Amortizacion'!G159,8),IF('CALCULADORA TIPS E-6'!$F$10="10% (Medio Alto)",ROUND('Tabla de Amortizacion'!K159,8),IF('CALCULADORA TIPS E-6'!$F$10="14% (Alto)",ROUND('Tabla de Amortizacion'!O159,8),IF('CALCULADORA TIPS E-6'!$F$10=20%,ROUND('Tabla de Amortizacion'!S159,8),ROUND('Tabla de Amortizacion'!W159,8))))))</f>
        <v>0</v>
      </c>
      <c r="D158" s="154">
        <f>IF('CALCULADORA TIPS E-6'!$F$10="Contractual",ROUND('Tabla de Amortizacion'!D159,8),IF('CALCULADORA TIPS E-6'!$F$10="6% (Medio)",ROUND('Tabla de Amortizacion'!H159,8),IF('CALCULADORA TIPS E-6'!$F$10="10% (Medio Alto)",ROUND('Tabla de Amortizacion'!L159,8),IF('CALCULADORA TIPS E-6'!$F$10="14% (Alto)",ROUND('Tabla de Amortizacion'!P159,8),IF('CALCULADORA TIPS E-6'!$F$10=20%,ROUND('Tabla de Amortizacion'!T159,8),ROUND('Tabla de Amortizacion'!X159,8))))))</f>
        <v>0</v>
      </c>
    </row>
    <row r="159" spans="1:4" ht="12.75">
      <c r="A159" s="153">
        <f t="shared" si="4"/>
        <v>43152</v>
      </c>
      <c r="B159" s="154">
        <f>IF('CALCULADORA TIPS E-6'!$F$10="Contractual",ROUND('Tabla de Amortizacion'!B160,8),IF('CALCULADORA TIPS E-6'!$F$10="6% (Medio)",ROUND('Tabla de Amortizacion'!F160,8),IF('CALCULADORA TIPS E-6'!$F$10="10% (Medio Alto)",ROUND('Tabla de Amortizacion'!J160,8),IF('CALCULADORA TIPS E-6'!$F$10="14% (Alto)",ROUND('Tabla de Amortizacion'!N160,8),IF('CALCULADORA TIPS E-6'!$F$10=20%,ROUND('Tabla de Amortizacion'!R160,8),ROUND('Tabla de Amortizacion'!V160,8))))))</f>
        <v>0</v>
      </c>
      <c r="C159" s="154">
        <f>IF('CALCULADORA TIPS E-6'!$F$10="Contractual",ROUND('Tabla de Amortizacion'!C160,8),IF('CALCULADORA TIPS E-6'!$F$10="6% (Medio)",ROUND('Tabla de Amortizacion'!G160,8),IF('CALCULADORA TIPS E-6'!$F$10="10% (Medio Alto)",ROUND('Tabla de Amortizacion'!K160,8),IF('CALCULADORA TIPS E-6'!$F$10="14% (Alto)",ROUND('Tabla de Amortizacion'!O160,8),IF('CALCULADORA TIPS E-6'!$F$10=20%,ROUND('Tabla de Amortizacion'!S160,8),ROUND('Tabla de Amortizacion'!W160,8))))))</f>
        <v>0</v>
      </c>
      <c r="D159" s="154">
        <f>IF('CALCULADORA TIPS E-6'!$F$10="Contractual",ROUND('Tabla de Amortizacion'!D160,8),IF('CALCULADORA TIPS E-6'!$F$10="6% (Medio)",ROUND('Tabla de Amortizacion'!H160,8),IF('CALCULADORA TIPS E-6'!$F$10="10% (Medio Alto)",ROUND('Tabla de Amortizacion'!L160,8),IF('CALCULADORA TIPS E-6'!$F$10="14% (Alto)",ROUND('Tabla de Amortizacion'!P160,8),IF('CALCULADORA TIPS E-6'!$F$10=20%,ROUND('Tabla de Amortizacion'!T160,8),ROUND('Tabla de Amortizacion'!X160,8))))))</f>
        <v>0</v>
      </c>
    </row>
    <row r="160" spans="1:4" ht="12.75">
      <c r="A160" s="153">
        <f t="shared" si="4"/>
        <v>43180</v>
      </c>
      <c r="B160" s="154">
        <f>IF('CALCULADORA TIPS E-6'!$F$10="Contractual",ROUND('Tabla de Amortizacion'!B161,8),IF('CALCULADORA TIPS E-6'!$F$10="6% (Medio)",ROUND('Tabla de Amortizacion'!F161,8),IF('CALCULADORA TIPS E-6'!$F$10="10% (Medio Alto)",ROUND('Tabla de Amortizacion'!J161,8),IF('CALCULADORA TIPS E-6'!$F$10="14% (Alto)",ROUND('Tabla de Amortizacion'!N161,8),IF('CALCULADORA TIPS E-6'!$F$10=20%,ROUND('Tabla de Amortizacion'!R161,8),ROUND('Tabla de Amortizacion'!V161,8))))))</f>
        <v>0</v>
      </c>
      <c r="C160" s="154">
        <f>IF('CALCULADORA TIPS E-6'!$F$10="Contractual",ROUND('Tabla de Amortizacion'!C161,8),IF('CALCULADORA TIPS E-6'!$F$10="6% (Medio)",ROUND('Tabla de Amortizacion'!G161,8),IF('CALCULADORA TIPS E-6'!$F$10="10% (Medio Alto)",ROUND('Tabla de Amortizacion'!K161,8),IF('CALCULADORA TIPS E-6'!$F$10="14% (Alto)",ROUND('Tabla de Amortizacion'!O161,8),IF('CALCULADORA TIPS E-6'!$F$10=20%,ROUND('Tabla de Amortizacion'!S161,8),ROUND('Tabla de Amortizacion'!W161,8))))))</f>
        <v>0</v>
      </c>
      <c r="D160" s="154">
        <f>IF('CALCULADORA TIPS E-6'!$F$10="Contractual",ROUND('Tabla de Amortizacion'!D161,8),IF('CALCULADORA TIPS E-6'!$F$10="6% (Medio)",ROUND('Tabla de Amortizacion'!H161,8),IF('CALCULADORA TIPS E-6'!$F$10="10% (Medio Alto)",ROUND('Tabla de Amortizacion'!L161,8),IF('CALCULADORA TIPS E-6'!$F$10="14% (Alto)",ROUND('Tabla de Amortizacion'!P161,8),IF('CALCULADORA TIPS E-6'!$F$10=20%,ROUND('Tabla de Amortizacion'!T161,8),ROUND('Tabla de Amortizacion'!X161,8))))))</f>
        <v>0</v>
      </c>
    </row>
    <row r="161" spans="1:4" ht="12.75">
      <c r="A161" s="153">
        <f t="shared" si="4"/>
        <v>43211</v>
      </c>
      <c r="B161" s="154">
        <f>IF('CALCULADORA TIPS E-6'!$F$10="Contractual",ROUND('Tabla de Amortizacion'!B162,8),IF('CALCULADORA TIPS E-6'!$F$10="6% (Medio)",ROUND('Tabla de Amortizacion'!F162,8),IF('CALCULADORA TIPS E-6'!$F$10="10% (Medio Alto)",ROUND('Tabla de Amortizacion'!J162,8),IF('CALCULADORA TIPS E-6'!$F$10="14% (Alto)",ROUND('Tabla de Amortizacion'!N162,8),IF('CALCULADORA TIPS E-6'!$F$10=20%,ROUND('Tabla de Amortizacion'!R162,8),ROUND('Tabla de Amortizacion'!V162,8))))))</f>
        <v>0</v>
      </c>
      <c r="C161" s="154">
        <f>IF('CALCULADORA TIPS E-6'!$F$10="Contractual",ROUND('Tabla de Amortizacion'!C162,8),IF('CALCULADORA TIPS E-6'!$F$10="6% (Medio)",ROUND('Tabla de Amortizacion'!G162,8),IF('CALCULADORA TIPS E-6'!$F$10="10% (Medio Alto)",ROUND('Tabla de Amortizacion'!K162,8),IF('CALCULADORA TIPS E-6'!$F$10="14% (Alto)",ROUND('Tabla de Amortizacion'!O162,8),IF('CALCULADORA TIPS E-6'!$F$10=20%,ROUND('Tabla de Amortizacion'!S162,8),ROUND('Tabla de Amortizacion'!W162,8))))))</f>
        <v>0</v>
      </c>
      <c r="D161" s="154">
        <f>IF('CALCULADORA TIPS E-6'!$F$10="Contractual",ROUND('Tabla de Amortizacion'!D162,8),IF('CALCULADORA TIPS E-6'!$F$10="6% (Medio)",ROUND('Tabla de Amortizacion'!H162,8),IF('CALCULADORA TIPS E-6'!$F$10="10% (Medio Alto)",ROUND('Tabla de Amortizacion'!L162,8),IF('CALCULADORA TIPS E-6'!$F$10="14% (Alto)",ROUND('Tabla de Amortizacion'!P162,8),IF('CALCULADORA TIPS E-6'!$F$10=20%,ROUND('Tabla de Amortizacion'!T162,8),ROUND('Tabla de Amortizacion'!X162,8))))))</f>
        <v>0</v>
      </c>
    </row>
    <row r="162" spans="1:4" ht="12.75">
      <c r="A162" s="153">
        <f t="shared" si="4"/>
        <v>43241</v>
      </c>
      <c r="B162" s="154">
        <f>IF('CALCULADORA TIPS E-6'!$F$10="Contractual",ROUND('Tabla de Amortizacion'!B163,8),IF('CALCULADORA TIPS E-6'!$F$10="6% (Medio)",ROUND('Tabla de Amortizacion'!F163,8),IF('CALCULADORA TIPS E-6'!$F$10="10% (Medio Alto)",ROUND('Tabla de Amortizacion'!J163,8),IF('CALCULADORA TIPS E-6'!$F$10="14% (Alto)",ROUND('Tabla de Amortizacion'!N163,8),IF('CALCULADORA TIPS E-6'!$F$10=20%,ROUND('Tabla de Amortizacion'!R163,8),ROUND('Tabla de Amortizacion'!V163,8))))))</f>
        <v>0</v>
      </c>
      <c r="C162" s="154">
        <f>IF('CALCULADORA TIPS E-6'!$F$10="Contractual",ROUND('Tabla de Amortizacion'!C163,8),IF('CALCULADORA TIPS E-6'!$F$10="6% (Medio)",ROUND('Tabla de Amortizacion'!G163,8),IF('CALCULADORA TIPS E-6'!$F$10="10% (Medio Alto)",ROUND('Tabla de Amortizacion'!K163,8),IF('CALCULADORA TIPS E-6'!$F$10="14% (Alto)",ROUND('Tabla de Amortizacion'!O163,8),IF('CALCULADORA TIPS E-6'!$F$10=20%,ROUND('Tabla de Amortizacion'!S163,8),ROUND('Tabla de Amortizacion'!W163,8))))))</f>
        <v>0</v>
      </c>
      <c r="D162" s="154">
        <f>IF('CALCULADORA TIPS E-6'!$F$10="Contractual",ROUND('Tabla de Amortizacion'!D163,8),IF('CALCULADORA TIPS E-6'!$F$10="6% (Medio)",ROUND('Tabla de Amortizacion'!H163,8),IF('CALCULADORA TIPS E-6'!$F$10="10% (Medio Alto)",ROUND('Tabla de Amortizacion'!L163,8),IF('CALCULADORA TIPS E-6'!$F$10="14% (Alto)",ROUND('Tabla de Amortizacion'!P163,8),IF('CALCULADORA TIPS E-6'!$F$10=20%,ROUND('Tabla de Amortizacion'!T163,8),ROUND('Tabla de Amortizacion'!X163,8))))))</f>
        <v>0</v>
      </c>
    </row>
    <row r="163" spans="1:4" ht="12.75">
      <c r="A163" s="153">
        <f aca="true" t="shared" si="5" ref="A163:A181">_XLL.FECHA.MES(A162,1)</f>
        <v>43272</v>
      </c>
      <c r="B163" s="154">
        <f>IF('CALCULADORA TIPS E-6'!$F$10="Contractual",ROUND('Tabla de Amortizacion'!B164,8),IF('CALCULADORA TIPS E-6'!$F$10="6% (Medio)",ROUND('Tabla de Amortizacion'!F164,8),IF('CALCULADORA TIPS E-6'!$F$10="10% (Medio Alto)",ROUND('Tabla de Amortizacion'!J164,8),IF('CALCULADORA TIPS E-6'!$F$10="14% (Alto)",ROUND('Tabla de Amortizacion'!N164,8),IF('CALCULADORA TIPS E-6'!$F$10=20%,ROUND('Tabla de Amortizacion'!R164,8),ROUND('Tabla de Amortizacion'!V164,8))))))</f>
        <v>0</v>
      </c>
      <c r="C163" s="154">
        <f>IF('CALCULADORA TIPS E-6'!$F$10="Contractual",ROUND('Tabla de Amortizacion'!C164,8),IF('CALCULADORA TIPS E-6'!$F$10="6% (Medio)",ROUND('Tabla de Amortizacion'!G164,8),IF('CALCULADORA TIPS E-6'!$F$10="10% (Medio Alto)",ROUND('Tabla de Amortizacion'!K164,8),IF('CALCULADORA TIPS E-6'!$F$10="14% (Alto)",ROUND('Tabla de Amortizacion'!O164,8),IF('CALCULADORA TIPS E-6'!$F$10=20%,ROUND('Tabla de Amortizacion'!S164,8),ROUND('Tabla de Amortizacion'!W164,8))))))</f>
        <v>0</v>
      </c>
      <c r="D163" s="154">
        <f>IF('CALCULADORA TIPS E-6'!$F$10="Contractual",ROUND('Tabla de Amortizacion'!D164,8),IF('CALCULADORA TIPS E-6'!$F$10="6% (Medio)",ROUND('Tabla de Amortizacion'!H164,8),IF('CALCULADORA TIPS E-6'!$F$10="10% (Medio Alto)",ROUND('Tabla de Amortizacion'!L164,8),IF('CALCULADORA TIPS E-6'!$F$10="14% (Alto)",ROUND('Tabla de Amortizacion'!P164,8),IF('CALCULADORA TIPS E-6'!$F$10=20%,ROUND('Tabla de Amortizacion'!T164,8),ROUND('Tabla de Amortizacion'!X164,8))))))</f>
        <v>0</v>
      </c>
    </row>
    <row r="164" spans="1:4" ht="12.75">
      <c r="A164" s="153">
        <f t="shared" si="5"/>
        <v>43302</v>
      </c>
      <c r="B164" s="154">
        <f>IF('CALCULADORA TIPS E-6'!$F$10="Contractual",ROUND('Tabla de Amortizacion'!B165,8),IF('CALCULADORA TIPS E-6'!$F$10="6% (Medio)",ROUND('Tabla de Amortizacion'!F165,8),IF('CALCULADORA TIPS E-6'!$F$10="10% (Medio Alto)",ROUND('Tabla de Amortizacion'!J165,8),IF('CALCULADORA TIPS E-6'!$F$10="14% (Alto)",ROUND('Tabla de Amortizacion'!N165,8),IF('CALCULADORA TIPS E-6'!$F$10=20%,ROUND('Tabla de Amortizacion'!R165,8),ROUND('Tabla de Amortizacion'!V165,8))))))</f>
        <v>0</v>
      </c>
      <c r="C164" s="154">
        <f>IF('CALCULADORA TIPS E-6'!$F$10="Contractual",ROUND('Tabla de Amortizacion'!C165,8),IF('CALCULADORA TIPS E-6'!$F$10="6% (Medio)",ROUND('Tabla de Amortizacion'!G165,8),IF('CALCULADORA TIPS E-6'!$F$10="10% (Medio Alto)",ROUND('Tabla de Amortizacion'!K165,8),IF('CALCULADORA TIPS E-6'!$F$10="14% (Alto)",ROUND('Tabla de Amortizacion'!O165,8),IF('CALCULADORA TIPS E-6'!$F$10=20%,ROUND('Tabla de Amortizacion'!S165,8),ROUND('Tabla de Amortizacion'!W165,8))))))</f>
        <v>0</v>
      </c>
      <c r="D164" s="154">
        <f>IF('CALCULADORA TIPS E-6'!$F$10="Contractual",ROUND('Tabla de Amortizacion'!D165,8),IF('CALCULADORA TIPS E-6'!$F$10="6% (Medio)",ROUND('Tabla de Amortizacion'!H165,8),IF('CALCULADORA TIPS E-6'!$F$10="10% (Medio Alto)",ROUND('Tabla de Amortizacion'!L165,8),IF('CALCULADORA TIPS E-6'!$F$10="14% (Alto)",ROUND('Tabla de Amortizacion'!P165,8),IF('CALCULADORA TIPS E-6'!$F$10=20%,ROUND('Tabla de Amortizacion'!T165,8),ROUND('Tabla de Amortizacion'!X165,8))))))</f>
        <v>0</v>
      </c>
    </row>
    <row r="165" spans="1:4" ht="12.75">
      <c r="A165" s="153">
        <f t="shared" si="5"/>
        <v>43333</v>
      </c>
      <c r="B165" s="154">
        <f>IF('CALCULADORA TIPS E-6'!$F$10="Contractual",ROUND('Tabla de Amortizacion'!B166,8),IF('CALCULADORA TIPS E-6'!$F$10="6% (Medio)",ROUND('Tabla de Amortizacion'!F166,8),IF('CALCULADORA TIPS E-6'!$F$10="10% (Medio Alto)",ROUND('Tabla de Amortizacion'!J166,8),IF('CALCULADORA TIPS E-6'!$F$10="14% (Alto)",ROUND('Tabla de Amortizacion'!N166,8),IF('CALCULADORA TIPS E-6'!$F$10=20%,ROUND('Tabla de Amortizacion'!R166,8),ROUND('Tabla de Amortizacion'!V166,8))))))</f>
        <v>0</v>
      </c>
      <c r="C165" s="154">
        <f>IF('CALCULADORA TIPS E-6'!$F$10="Contractual",ROUND('Tabla de Amortizacion'!C166,8),IF('CALCULADORA TIPS E-6'!$F$10="6% (Medio)",ROUND('Tabla de Amortizacion'!G166,8),IF('CALCULADORA TIPS E-6'!$F$10="10% (Medio Alto)",ROUND('Tabla de Amortizacion'!K166,8),IF('CALCULADORA TIPS E-6'!$F$10="14% (Alto)",ROUND('Tabla de Amortizacion'!O166,8),IF('CALCULADORA TIPS E-6'!$F$10=20%,ROUND('Tabla de Amortizacion'!S166,8),ROUND('Tabla de Amortizacion'!W166,8))))))</f>
        <v>0</v>
      </c>
      <c r="D165" s="154">
        <f>IF('CALCULADORA TIPS E-6'!$F$10="Contractual",ROUND('Tabla de Amortizacion'!D166,8),IF('CALCULADORA TIPS E-6'!$F$10="6% (Medio)",ROUND('Tabla de Amortizacion'!H166,8),IF('CALCULADORA TIPS E-6'!$F$10="10% (Medio Alto)",ROUND('Tabla de Amortizacion'!L166,8),IF('CALCULADORA TIPS E-6'!$F$10="14% (Alto)",ROUND('Tabla de Amortizacion'!P166,8),IF('CALCULADORA TIPS E-6'!$F$10=20%,ROUND('Tabla de Amortizacion'!T166,8),ROUND('Tabla de Amortizacion'!X166,8))))))</f>
        <v>0</v>
      </c>
    </row>
    <row r="166" spans="1:4" ht="12.75">
      <c r="A166" s="153">
        <f t="shared" si="5"/>
        <v>43364</v>
      </c>
      <c r="B166" s="154">
        <f>IF('CALCULADORA TIPS E-6'!$F$10="Contractual",ROUND('Tabla de Amortizacion'!B167,8),IF('CALCULADORA TIPS E-6'!$F$10="6% (Medio)",ROUND('Tabla de Amortizacion'!F167,8),IF('CALCULADORA TIPS E-6'!$F$10="10% (Medio Alto)",ROUND('Tabla de Amortizacion'!J167,8),IF('CALCULADORA TIPS E-6'!$F$10="14% (Alto)",ROUND('Tabla de Amortizacion'!N167,8),IF('CALCULADORA TIPS E-6'!$F$10=20%,ROUND('Tabla de Amortizacion'!R167,8),ROUND('Tabla de Amortizacion'!V167,8))))))</f>
        <v>0</v>
      </c>
      <c r="C166" s="154">
        <f>IF('CALCULADORA TIPS E-6'!$F$10="Contractual",ROUND('Tabla de Amortizacion'!C167,8),IF('CALCULADORA TIPS E-6'!$F$10="6% (Medio)",ROUND('Tabla de Amortizacion'!G167,8),IF('CALCULADORA TIPS E-6'!$F$10="10% (Medio Alto)",ROUND('Tabla de Amortizacion'!K167,8),IF('CALCULADORA TIPS E-6'!$F$10="14% (Alto)",ROUND('Tabla de Amortizacion'!O167,8),IF('CALCULADORA TIPS E-6'!$F$10=20%,ROUND('Tabla de Amortizacion'!S167,8),ROUND('Tabla de Amortizacion'!W167,8))))))</f>
        <v>0</v>
      </c>
      <c r="D166" s="154">
        <f>IF('CALCULADORA TIPS E-6'!$F$10="Contractual",ROUND('Tabla de Amortizacion'!D167,8),IF('CALCULADORA TIPS E-6'!$F$10="6% (Medio)",ROUND('Tabla de Amortizacion'!H167,8),IF('CALCULADORA TIPS E-6'!$F$10="10% (Medio Alto)",ROUND('Tabla de Amortizacion'!L167,8),IF('CALCULADORA TIPS E-6'!$F$10="14% (Alto)",ROUND('Tabla de Amortizacion'!P167,8),IF('CALCULADORA TIPS E-6'!$F$10=20%,ROUND('Tabla de Amortizacion'!T167,8),ROUND('Tabla de Amortizacion'!X167,8))))))</f>
        <v>0</v>
      </c>
    </row>
    <row r="167" spans="1:4" ht="12.75">
      <c r="A167" s="153">
        <f t="shared" si="5"/>
        <v>43394</v>
      </c>
      <c r="B167" s="154">
        <f>IF('CALCULADORA TIPS E-6'!$F$10="Contractual",ROUND('Tabla de Amortizacion'!B168,8),IF('CALCULADORA TIPS E-6'!$F$10="6% (Medio)",ROUND('Tabla de Amortizacion'!F168,8),IF('CALCULADORA TIPS E-6'!$F$10="10% (Medio Alto)",ROUND('Tabla de Amortizacion'!J168,8),IF('CALCULADORA TIPS E-6'!$F$10="14% (Alto)",ROUND('Tabla de Amortizacion'!N168,8),IF('CALCULADORA TIPS E-6'!$F$10=20%,ROUND('Tabla de Amortizacion'!R168,8),ROUND('Tabla de Amortizacion'!V168,8))))))</f>
        <v>0</v>
      </c>
      <c r="C167" s="154">
        <f>IF('CALCULADORA TIPS E-6'!$F$10="Contractual",ROUND('Tabla de Amortizacion'!C168,8),IF('CALCULADORA TIPS E-6'!$F$10="6% (Medio)",ROUND('Tabla de Amortizacion'!G168,8),IF('CALCULADORA TIPS E-6'!$F$10="10% (Medio Alto)",ROUND('Tabla de Amortizacion'!K168,8),IF('CALCULADORA TIPS E-6'!$F$10="14% (Alto)",ROUND('Tabla de Amortizacion'!O168,8),IF('CALCULADORA TIPS E-6'!$F$10=20%,ROUND('Tabla de Amortizacion'!S168,8),ROUND('Tabla de Amortizacion'!W168,8))))))</f>
        <v>0</v>
      </c>
      <c r="D167" s="154">
        <f>IF('CALCULADORA TIPS E-6'!$F$10="Contractual",ROUND('Tabla de Amortizacion'!D168,8),IF('CALCULADORA TIPS E-6'!$F$10="6% (Medio)",ROUND('Tabla de Amortizacion'!H168,8),IF('CALCULADORA TIPS E-6'!$F$10="10% (Medio Alto)",ROUND('Tabla de Amortizacion'!L168,8),IF('CALCULADORA TIPS E-6'!$F$10="14% (Alto)",ROUND('Tabla de Amortizacion'!P168,8),IF('CALCULADORA TIPS E-6'!$F$10=20%,ROUND('Tabla de Amortizacion'!T168,8),ROUND('Tabla de Amortizacion'!X168,8))))))</f>
        <v>0</v>
      </c>
    </row>
    <row r="168" spans="1:4" ht="12.75">
      <c r="A168" s="153">
        <f t="shared" si="5"/>
        <v>43425</v>
      </c>
      <c r="B168" s="154">
        <f>IF('CALCULADORA TIPS E-6'!$F$10="Contractual",ROUND('Tabla de Amortizacion'!B169,8),IF('CALCULADORA TIPS E-6'!$F$10="6% (Medio)",ROUND('Tabla de Amortizacion'!F169,8),IF('CALCULADORA TIPS E-6'!$F$10="10% (Medio Alto)",ROUND('Tabla de Amortizacion'!J169,8),IF('CALCULADORA TIPS E-6'!$F$10="14% (Alto)",ROUND('Tabla de Amortizacion'!N169,8),IF('CALCULADORA TIPS E-6'!$F$10=20%,ROUND('Tabla de Amortizacion'!R169,8),ROUND('Tabla de Amortizacion'!V169,8))))))</f>
        <v>0</v>
      </c>
      <c r="C168" s="154">
        <f>IF('CALCULADORA TIPS E-6'!$F$10="Contractual",ROUND('Tabla de Amortizacion'!C169,8),IF('CALCULADORA TIPS E-6'!$F$10="6% (Medio)",ROUND('Tabla de Amortizacion'!G169,8),IF('CALCULADORA TIPS E-6'!$F$10="10% (Medio Alto)",ROUND('Tabla de Amortizacion'!K169,8),IF('CALCULADORA TIPS E-6'!$F$10="14% (Alto)",ROUND('Tabla de Amortizacion'!O169,8),IF('CALCULADORA TIPS E-6'!$F$10=20%,ROUND('Tabla de Amortizacion'!S169,8),ROUND('Tabla de Amortizacion'!W169,8))))))</f>
        <v>0</v>
      </c>
      <c r="D168" s="154">
        <f>IF('CALCULADORA TIPS E-6'!$F$10="Contractual",ROUND('Tabla de Amortizacion'!D169,8),IF('CALCULADORA TIPS E-6'!$F$10="6% (Medio)",ROUND('Tabla de Amortizacion'!H169,8),IF('CALCULADORA TIPS E-6'!$F$10="10% (Medio Alto)",ROUND('Tabla de Amortizacion'!L169,8),IF('CALCULADORA TIPS E-6'!$F$10="14% (Alto)",ROUND('Tabla de Amortizacion'!P169,8),IF('CALCULADORA TIPS E-6'!$F$10=20%,ROUND('Tabla de Amortizacion'!T169,8),ROUND('Tabla de Amortizacion'!X169,8))))))</f>
        <v>0</v>
      </c>
    </row>
    <row r="169" spans="1:4" ht="12.75">
      <c r="A169" s="153">
        <f t="shared" si="5"/>
        <v>43455</v>
      </c>
      <c r="B169" s="154">
        <f>IF('CALCULADORA TIPS E-6'!$F$10="Contractual",ROUND('Tabla de Amortizacion'!B170,8),IF('CALCULADORA TIPS E-6'!$F$10="6% (Medio)",ROUND('Tabla de Amortizacion'!F170,8),IF('CALCULADORA TIPS E-6'!$F$10="10% (Medio Alto)",ROUND('Tabla de Amortizacion'!J170,8),IF('CALCULADORA TIPS E-6'!$F$10="14% (Alto)",ROUND('Tabla de Amortizacion'!N170,8),IF('CALCULADORA TIPS E-6'!$F$10=20%,ROUND('Tabla de Amortizacion'!R170,8),ROUND('Tabla de Amortizacion'!V170,8))))))</f>
        <v>0</v>
      </c>
      <c r="C169" s="154">
        <f>IF('CALCULADORA TIPS E-6'!$F$10="Contractual",ROUND('Tabla de Amortizacion'!C170,8),IF('CALCULADORA TIPS E-6'!$F$10="6% (Medio)",ROUND('Tabla de Amortizacion'!G170,8),IF('CALCULADORA TIPS E-6'!$F$10="10% (Medio Alto)",ROUND('Tabla de Amortizacion'!K170,8),IF('CALCULADORA TIPS E-6'!$F$10="14% (Alto)",ROUND('Tabla de Amortizacion'!O170,8),IF('CALCULADORA TIPS E-6'!$F$10=20%,ROUND('Tabla de Amortizacion'!S170,8),ROUND('Tabla de Amortizacion'!W170,8))))))</f>
        <v>0</v>
      </c>
      <c r="D169" s="154">
        <f>IF('CALCULADORA TIPS E-6'!$F$10="Contractual",ROUND('Tabla de Amortizacion'!D170,8),IF('CALCULADORA TIPS E-6'!$F$10="6% (Medio)",ROUND('Tabla de Amortizacion'!H170,8),IF('CALCULADORA TIPS E-6'!$F$10="10% (Medio Alto)",ROUND('Tabla de Amortizacion'!L170,8),IF('CALCULADORA TIPS E-6'!$F$10="14% (Alto)",ROUND('Tabla de Amortizacion'!P170,8),IF('CALCULADORA TIPS E-6'!$F$10=20%,ROUND('Tabla de Amortizacion'!T170,8),ROUND('Tabla de Amortizacion'!X170,8))))))</f>
        <v>0</v>
      </c>
    </row>
    <row r="170" spans="1:4" ht="12.75">
      <c r="A170" s="153">
        <f t="shared" si="5"/>
        <v>43486</v>
      </c>
      <c r="B170" s="154">
        <f>IF('CALCULADORA TIPS E-6'!$F$10="Contractual",ROUND('Tabla de Amortizacion'!B171,8),IF('CALCULADORA TIPS E-6'!$F$10="6% (Medio)",ROUND('Tabla de Amortizacion'!F171,8),IF('CALCULADORA TIPS E-6'!$F$10="10% (Medio Alto)",ROUND('Tabla de Amortizacion'!J171,8),IF('CALCULADORA TIPS E-6'!$F$10="14% (Alto)",ROUND('Tabla de Amortizacion'!N171,8),IF('CALCULADORA TIPS E-6'!$F$10=20%,ROUND('Tabla de Amortizacion'!R171,8),ROUND('Tabla de Amortizacion'!V171,8))))))</f>
        <v>0</v>
      </c>
      <c r="C170" s="154">
        <f>IF('CALCULADORA TIPS E-6'!$F$10="Contractual",ROUND('Tabla de Amortizacion'!C171,8),IF('CALCULADORA TIPS E-6'!$F$10="6% (Medio)",ROUND('Tabla de Amortizacion'!G171,8),IF('CALCULADORA TIPS E-6'!$F$10="10% (Medio Alto)",ROUND('Tabla de Amortizacion'!K171,8),IF('CALCULADORA TIPS E-6'!$F$10="14% (Alto)",ROUND('Tabla de Amortizacion'!O171,8),IF('CALCULADORA TIPS E-6'!$F$10=20%,ROUND('Tabla de Amortizacion'!S171,8),ROUND('Tabla de Amortizacion'!W171,8))))))</f>
        <v>0</v>
      </c>
      <c r="D170" s="154">
        <f>IF('CALCULADORA TIPS E-6'!$F$10="Contractual",ROUND('Tabla de Amortizacion'!D171,8),IF('CALCULADORA TIPS E-6'!$F$10="6% (Medio)",ROUND('Tabla de Amortizacion'!H171,8),IF('CALCULADORA TIPS E-6'!$F$10="10% (Medio Alto)",ROUND('Tabla de Amortizacion'!L171,8),IF('CALCULADORA TIPS E-6'!$F$10="14% (Alto)",ROUND('Tabla de Amortizacion'!P171,8),IF('CALCULADORA TIPS E-6'!$F$10=20%,ROUND('Tabla de Amortizacion'!T171,8),ROUND('Tabla de Amortizacion'!X171,8))))))</f>
        <v>0</v>
      </c>
    </row>
    <row r="171" spans="1:4" ht="12.75">
      <c r="A171" s="153">
        <f t="shared" si="5"/>
        <v>43517</v>
      </c>
      <c r="B171" s="154">
        <f>IF('CALCULADORA TIPS E-6'!$F$10="Contractual",ROUND('Tabla de Amortizacion'!B172,8),IF('CALCULADORA TIPS E-6'!$F$10="6% (Medio)",ROUND('Tabla de Amortizacion'!F172,8),IF('CALCULADORA TIPS E-6'!$F$10="10% (Medio Alto)",ROUND('Tabla de Amortizacion'!J172,8),IF('CALCULADORA TIPS E-6'!$F$10="14% (Alto)",ROUND('Tabla de Amortizacion'!N172,8),IF('CALCULADORA TIPS E-6'!$F$10=20%,ROUND('Tabla de Amortizacion'!R172,8),ROUND('Tabla de Amortizacion'!V172,8))))))</f>
        <v>0</v>
      </c>
      <c r="C171" s="154">
        <f>IF('CALCULADORA TIPS E-6'!$F$10="Contractual",ROUND('Tabla de Amortizacion'!C172,8),IF('CALCULADORA TIPS E-6'!$F$10="6% (Medio)",ROUND('Tabla de Amortizacion'!G172,8),IF('CALCULADORA TIPS E-6'!$F$10="10% (Medio Alto)",ROUND('Tabla de Amortizacion'!K172,8),IF('CALCULADORA TIPS E-6'!$F$10="14% (Alto)",ROUND('Tabla de Amortizacion'!O172,8),IF('CALCULADORA TIPS E-6'!$F$10=20%,ROUND('Tabla de Amortizacion'!S172,8),ROUND('Tabla de Amortizacion'!W172,8))))))</f>
        <v>0</v>
      </c>
      <c r="D171" s="154">
        <f>IF('CALCULADORA TIPS E-6'!$F$10="Contractual",ROUND('Tabla de Amortizacion'!D172,8),IF('CALCULADORA TIPS E-6'!$F$10="6% (Medio)",ROUND('Tabla de Amortizacion'!H172,8),IF('CALCULADORA TIPS E-6'!$F$10="10% (Medio Alto)",ROUND('Tabla de Amortizacion'!L172,8),IF('CALCULADORA TIPS E-6'!$F$10="14% (Alto)",ROUND('Tabla de Amortizacion'!P172,8),IF('CALCULADORA TIPS E-6'!$F$10=20%,ROUND('Tabla de Amortizacion'!T172,8),ROUND('Tabla de Amortizacion'!X172,8))))))</f>
        <v>0</v>
      </c>
    </row>
    <row r="172" spans="1:4" ht="12.75">
      <c r="A172" s="153">
        <f t="shared" si="5"/>
        <v>43545</v>
      </c>
      <c r="B172" s="154">
        <f>IF('CALCULADORA TIPS E-6'!$F$10="Contractual",ROUND('Tabla de Amortizacion'!B173,8),IF('CALCULADORA TIPS E-6'!$F$10="6% (Medio)",ROUND('Tabla de Amortizacion'!F173,8),IF('CALCULADORA TIPS E-6'!$F$10="10% (Medio Alto)",ROUND('Tabla de Amortizacion'!J173,8),IF('CALCULADORA TIPS E-6'!$F$10="14% (Alto)",ROUND('Tabla de Amortizacion'!N173,8),IF('CALCULADORA TIPS E-6'!$F$10=20%,ROUND('Tabla de Amortizacion'!R173,8),ROUND('Tabla de Amortizacion'!V173,8))))))</f>
        <v>0</v>
      </c>
      <c r="C172" s="154">
        <f>IF('CALCULADORA TIPS E-6'!$F$10="Contractual",ROUND('Tabla de Amortizacion'!C173,8),IF('CALCULADORA TIPS E-6'!$F$10="6% (Medio)",ROUND('Tabla de Amortizacion'!G173,8),IF('CALCULADORA TIPS E-6'!$F$10="10% (Medio Alto)",ROUND('Tabla de Amortizacion'!K173,8),IF('CALCULADORA TIPS E-6'!$F$10="14% (Alto)",ROUND('Tabla de Amortizacion'!O173,8),IF('CALCULADORA TIPS E-6'!$F$10=20%,ROUND('Tabla de Amortizacion'!S173,8),ROUND('Tabla de Amortizacion'!W173,8))))))</f>
        <v>0</v>
      </c>
      <c r="D172" s="154">
        <f>IF('CALCULADORA TIPS E-6'!$F$10="Contractual",ROUND('Tabla de Amortizacion'!D173,8),IF('CALCULADORA TIPS E-6'!$F$10="6% (Medio)",ROUND('Tabla de Amortizacion'!H173,8),IF('CALCULADORA TIPS E-6'!$F$10="10% (Medio Alto)",ROUND('Tabla de Amortizacion'!L173,8),IF('CALCULADORA TIPS E-6'!$F$10="14% (Alto)",ROUND('Tabla de Amortizacion'!P173,8),IF('CALCULADORA TIPS E-6'!$F$10=20%,ROUND('Tabla de Amortizacion'!T173,8),ROUND('Tabla de Amortizacion'!X173,8))))))</f>
        <v>0</v>
      </c>
    </row>
    <row r="173" spans="1:4" ht="12.75">
      <c r="A173" s="153">
        <f t="shared" si="5"/>
        <v>43576</v>
      </c>
      <c r="B173" s="154">
        <f>IF('CALCULADORA TIPS E-6'!$F$10="Contractual",ROUND('Tabla de Amortizacion'!B174,8),IF('CALCULADORA TIPS E-6'!$F$10="6% (Medio)",ROUND('Tabla de Amortizacion'!F174,8),IF('CALCULADORA TIPS E-6'!$F$10="10% (Medio Alto)",ROUND('Tabla de Amortizacion'!J174,8),IF('CALCULADORA TIPS E-6'!$F$10="14% (Alto)",ROUND('Tabla de Amortizacion'!N174,8),IF('CALCULADORA TIPS E-6'!$F$10=20%,ROUND('Tabla de Amortizacion'!R174,8),ROUND('Tabla de Amortizacion'!V174,8))))))</f>
        <v>0</v>
      </c>
      <c r="C173" s="154">
        <f>IF('CALCULADORA TIPS E-6'!$F$10="Contractual",ROUND('Tabla de Amortizacion'!C174,8),IF('CALCULADORA TIPS E-6'!$F$10="6% (Medio)",ROUND('Tabla de Amortizacion'!G174,8),IF('CALCULADORA TIPS E-6'!$F$10="10% (Medio Alto)",ROUND('Tabla de Amortizacion'!K174,8),IF('CALCULADORA TIPS E-6'!$F$10="14% (Alto)",ROUND('Tabla de Amortizacion'!O174,8),IF('CALCULADORA TIPS E-6'!$F$10=20%,ROUND('Tabla de Amortizacion'!S174,8),ROUND('Tabla de Amortizacion'!W174,8))))))</f>
        <v>0</v>
      </c>
      <c r="D173" s="154">
        <f>IF('CALCULADORA TIPS E-6'!$F$10="Contractual",ROUND('Tabla de Amortizacion'!D174,8),IF('CALCULADORA TIPS E-6'!$F$10="6% (Medio)",ROUND('Tabla de Amortizacion'!H174,8),IF('CALCULADORA TIPS E-6'!$F$10="10% (Medio Alto)",ROUND('Tabla de Amortizacion'!L174,8),IF('CALCULADORA TIPS E-6'!$F$10="14% (Alto)",ROUND('Tabla de Amortizacion'!P174,8),IF('CALCULADORA TIPS E-6'!$F$10=20%,ROUND('Tabla de Amortizacion'!T174,8),ROUND('Tabla de Amortizacion'!X174,8))))))</f>
        <v>0</v>
      </c>
    </row>
    <row r="174" spans="1:4" ht="12.75">
      <c r="A174" s="153">
        <f t="shared" si="5"/>
        <v>43606</v>
      </c>
      <c r="B174" s="154">
        <f>IF('CALCULADORA TIPS E-6'!$F$10="Contractual",ROUND('Tabla de Amortizacion'!B175,8),IF('CALCULADORA TIPS E-6'!$F$10="6% (Medio)",ROUND('Tabla de Amortizacion'!F175,8),IF('CALCULADORA TIPS E-6'!$F$10="10% (Medio Alto)",ROUND('Tabla de Amortizacion'!J175,8),IF('CALCULADORA TIPS E-6'!$F$10="14% (Alto)",ROUND('Tabla de Amortizacion'!N175,8),IF('CALCULADORA TIPS E-6'!$F$10=20%,ROUND('Tabla de Amortizacion'!R175,8),ROUND('Tabla de Amortizacion'!V175,8))))))</f>
        <v>0</v>
      </c>
      <c r="C174" s="154">
        <f>IF('CALCULADORA TIPS E-6'!$F$10="Contractual",ROUND('Tabla de Amortizacion'!C175,8),IF('CALCULADORA TIPS E-6'!$F$10="6% (Medio)",ROUND('Tabla de Amortizacion'!G175,8),IF('CALCULADORA TIPS E-6'!$F$10="10% (Medio Alto)",ROUND('Tabla de Amortizacion'!K175,8),IF('CALCULADORA TIPS E-6'!$F$10="14% (Alto)",ROUND('Tabla de Amortizacion'!O175,8),IF('CALCULADORA TIPS E-6'!$F$10=20%,ROUND('Tabla de Amortizacion'!S175,8),ROUND('Tabla de Amortizacion'!W175,8))))))</f>
        <v>0</v>
      </c>
      <c r="D174" s="154">
        <f>IF('CALCULADORA TIPS E-6'!$F$10="Contractual",ROUND('Tabla de Amortizacion'!D175,8),IF('CALCULADORA TIPS E-6'!$F$10="6% (Medio)",ROUND('Tabla de Amortizacion'!H175,8),IF('CALCULADORA TIPS E-6'!$F$10="10% (Medio Alto)",ROUND('Tabla de Amortizacion'!L175,8),IF('CALCULADORA TIPS E-6'!$F$10="14% (Alto)",ROUND('Tabla de Amortizacion'!P175,8),IF('CALCULADORA TIPS E-6'!$F$10=20%,ROUND('Tabla de Amortizacion'!T175,8),ROUND('Tabla de Amortizacion'!X175,8))))))</f>
        <v>0</v>
      </c>
    </row>
    <row r="175" spans="1:4" ht="12.75">
      <c r="A175" s="153">
        <f t="shared" si="5"/>
        <v>43637</v>
      </c>
      <c r="B175" s="154">
        <f>IF('CALCULADORA TIPS E-6'!$F$10="Contractual",ROUND('Tabla de Amortizacion'!B176,8),IF('CALCULADORA TIPS E-6'!$F$10="6% (Medio)",ROUND('Tabla de Amortizacion'!F176,8),IF('CALCULADORA TIPS E-6'!$F$10="10% (Medio Alto)",ROUND('Tabla de Amortizacion'!J176,8),IF('CALCULADORA TIPS E-6'!$F$10="14% (Alto)",ROUND('Tabla de Amortizacion'!N176,8),IF('CALCULADORA TIPS E-6'!$F$10=20%,ROUND('Tabla de Amortizacion'!R176,8),ROUND('Tabla de Amortizacion'!V176,8))))))</f>
        <v>0</v>
      </c>
      <c r="C175" s="154">
        <f>IF('CALCULADORA TIPS E-6'!$F$10="Contractual",ROUND('Tabla de Amortizacion'!C176,8),IF('CALCULADORA TIPS E-6'!$F$10="6% (Medio)",ROUND('Tabla de Amortizacion'!G176,8),IF('CALCULADORA TIPS E-6'!$F$10="10% (Medio Alto)",ROUND('Tabla de Amortizacion'!K176,8),IF('CALCULADORA TIPS E-6'!$F$10="14% (Alto)",ROUND('Tabla de Amortizacion'!O176,8),IF('CALCULADORA TIPS E-6'!$F$10=20%,ROUND('Tabla de Amortizacion'!S176,8),ROUND('Tabla de Amortizacion'!W176,8))))))</f>
        <v>0</v>
      </c>
      <c r="D175" s="154">
        <f>IF('CALCULADORA TIPS E-6'!$F$10="Contractual",ROUND('Tabla de Amortizacion'!D176,8),IF('CALCULADORA TIPS E-6'!$F$10="6% (Medio)",ROUND('Tabla de Amortizacion'!H176,8),IF('CALCULADORA TIPS E-6'!$F$10="10% (Medio Alto)",ROUND('Tabla de Amortizacion'!L176,8),IF('CALCULADORA TIPS E-6'!$F$10="14% (Alto)",ROUND('Tabla de Amortizacion'!P176,8),IF('CALCULADORA TIPS E-6'!$F$10=20%,ROUND('Tabla de Amortizacion'!T176,8),ROUND('Tabla de Amortizacion'!X176,8))))))</f>
        <v>0</v>
      </c>
    </row>
    <row r="176" spans="1:4" ht="12.75">
      <c r="A176" s="153">
        <f t="shared" si="5"/>
        <v>43667</v>
      </c>
      <c r="B176" s="154">
        <f>IF('CALCULADORA TIPS E-6'!$F$10="Contractual",ROUND('Tabla de Amortizacion'!B177,8),IF('CALCULADORA TIPS E-6'!$F$10="6% (Medio)",ROUND('Tabla de Amortizacion'!F177,8),IF('CALCULADORA TIPS E-6'!$F$10="10% (Medio Alto)",ROUND('Tabla de Amortizacion'!J177,8),IF('CALCULADORA TIPS E-6'!$F$10="14% (Alto)",ROUND('Tabla de Amortizacion'!N177,8),IF('CALCULADORA TIPS E-6'!$F$10=20%,ROUND('Tabla de Amortizacion'!R177,8),ROUND('Tabla de Amortizacion'!V177,8))))))</f>
        <v>0</v>
      </c>
      <c r="C176" s="154">
        <f>IF('CALCULADORA TIPS E-6'!$F$10="Contractual",ROUND('Tabla de Amortizacion'!C177,8),IF('CALCULADORA TIPS E-6'!$F$10="6% (Medio)",ROUND('Tabla de Amortizacion'!G177,8),IF('CALCULADORA TIPS E-6'!$F$10="10% (Medio Alto)",ROUND('Tabla de Amortizacion'!K177,8),IF('CALCULADORA TIPS E-6'!$F$10="14% (Alto)",ROUND('Tabla de Amortizacion'!O177,8),IF('CALCULADORA TIPS E-6'!$F$10=20%,ROUND('Tabla de Amortizacion'!S177,8),ROUND('Tabla de Amortizacion'!W177,8))))))</f>
        <v>0</v>
      </c>
      <c r="D176" s="154">
        <f>IF('CALCULADORA TIPS E-6'!$F$10="Contractual",ROUND('Tabla de Amortizacion'!D177,8),IF('CALCULADORA TIPS E-6'!$F$10="6% (Medio)",ROUND('Tabla de Amortizacion'!H177,8),IF('CALCULADORA TIPS E-6'!$F$10="10% (Medio Alto)",ROUND('Tabla de Amortizacion'!L177,8),IF('CALCULADORA TIPS E-6'!$F$10="14% (Alto)",ROUND('Tabla de Amortizacion'!P177,8),IF('CALCULADORA TIPS E-6'!$F$10=20%,ROUND('Tabla de Amortizacion'!T177,8),ROUND('Tabla de Amortizacion'!X177,8))))))</f>
        <v>0</v>
      </c>
    </row>
    <row r="177" spans="1:4" ht="12.75">
      <c r="A177" s="153">
        <f t="shared" si="5"/>
        <v>43698</v>
      </c>
      <c r="B177" s="154">
        <f>IF('CALCULADORA TIPS E-6'!$F$10="Contractual",ROUND('Tabla de Amortizacion'!B178,8),IF('CALCULADORA TIPS E-6'!$F$10="6% (Medio)",ROUND('Tabla de Amortizacion'!F178,8),IF('CALCULADORA TIPS E-6'!$F$10="10% (Medio Alto)",ROUND('Tabla de Amortizacion'!J178,8),IF('CALCULADORA TIPS E-6'!$F$10="14% (Alto)",ROUND('Tabla de Amortizacion'!N178,8),IF('CALCULADORA TIPS E-6'!$F$10=20%,ROUND('Tabla de Amortizacion'!R178,8),ROUND('Tabla de Amortizacion'!V178,8))))))</f>
        <v>0</v>
      </c>
      <c r="C177" s="154">
        <f>IF('CALCULADORA TIPS E-6'!$F$10="Contractual",ROUND('Tabla de Amortizacion'!C178,8),IF('CALCULADORA TIPS E-6'!$F$10="6% (Medio)",ROUND('Tabla de Amortizacion'!G178,8),IF('CALCULADORA TIPS E-6'!$F$10="10% (Medio Alto)",ROUND('Tabla de Amortizacion'!K178,8),IF('CALCULADORA TIPS E-6'!$F$10="14% (Alto)",ROUND('Tabla de Amortizacion'!O178,8),IF('CALCULADORA TIPS E-6'!$F$10=20%,ROUND('Tabla de Amortizacion'!S178,8),ROUND('Tabla de Amortizacion'!W178,8))))))</f>
        <v>0</v>
      </c>
      <c r="D177" s="154">
        <f>IF('CALCULADORA TIPS E-6'!$F$10="Contractual",ROUND('Tabla de Amortizacion'!D178,8),IF('CALCULADORA TIPS E-6'!$F$10="6% (Medio)",ROUND('Tabla de Amortizacion'!H178,8),IF('CALCULADORA TIPS E-6'!$F$10="10% (Medio Alto)",ROUND('Tabla de Amortizacion'!L178,8),IF('CALCULADORA TIPS E-6'!$F$10="14% (Alto)",ROUND('Tabla de Amortizacion'!P178,8),IF('CALCULADORA TIPS E-6'!$F$10=20%,ROUND('Tabla de Amortizacion'!T178,8),ROUND('Tabla de Amortizacion'!X178,8))))))</f>
        <v>0</v>
      </c>
    </row>
    <row r="178" spans="1:4" ht="12.75">
      <c r="A178" s="153">
        <f t="shared" si="5"/>
        <v>43729</v>
      </c>
      <c r="B178" s="154">
        <f>IF('CALCULADORA TIPS E-6'!$F$10="Contractual",ROUND('Tabla de Amortizacion'!B179,8),IF('CALCULADORA TIPS E-6'!$F$10="6% (Medio)",ROUND('Tabla de Amortizacion'!F179,8),IF('CALCULADORA TIPS E-6'!$F$10="10% (Medio Alto)",ROUND('Tabla de Amortizacion'!J179,8),IF('CALCULADORA TIPS E-6'!$F$10="14% (Alto)",ROUND('Tabla de Amortizacion'!N179,8),IF('CALCULADORA TIPS E-6'!$F$10=20%,ROUND('Tabla de Amortizacion'!R179,8),ROUND('Tabla de Amortizacion'!V179,8))))))</f>
        <v>0</v>
      </c>
      <c r="C178" s="154">
        <f>IF('CALCULADORA TIPS E-6'!$F$10="Contractual",ROUND('Tabla de Amortizacion'!C179,8),IF('CALCULADORA TIPS E-6'!$F$10="6% (Medio)",ROUND('Tabla de Amortizacion'!G179,8),IF('CALCULADORA TIPS E-6'!$F$10="10% (Medio Alto)",ROUND('Tabla de Amortizacion'!K179,8),IF('CALCULADORA TIPS E-6'!$F$10="14% (Alto)",ROUND('Tabla de Amortizacion'!O179,8),IF('CALCULADORA TIPS E-6'!$F$10=20%,ROUND('Tabla de Amortizacion'!S179,8),ROUND('Tabla de Amortizacion'!W179,8))))))</f>
        <v>0</v>
      </c>
      <c r="D178" s="154">
        <f>IF('CALCULADORA TIPS E-6'!$F$10="Contractual",ROUND('Tabla de Amortizacion'!D179,8),IF('CALCULADORA TIPS E-6'!$F$10="6% (Medio)",ROUND('Tabla de Amortizacion'!H179,8),IF('CALCULADORA TIPS E-6'!$F$10="10% (Medio Alto)",ROUND('Tabla de Amortizacion'!L179,8),IF('CALCULADORA TIPS E-6'!$F$10="14% (Alto)",ROUND('Tabla de Amortizacion'!P179,8),IF('CALCULADORA TIPS E-6'!$F$10=20%,ROUND('Tabla de Amortizacion'!T179,8),ROUND('Tabla de Amortizacion'!X179,8))))))</f>
        <v>0</v>
      </c>
    </row>
    <row r="179" spans="1:4" ht="12.75">
      <c r="A179" s="153">
        <f t="shared" si="5"/>
        <v>43759</v>
      </c>
      <c r="B179" s="154">
        <f>IF('CALCULADORA TIPS E-6'!$F$10="Contractual",ROUND('Tabla de Amortizacion'!B180,8),IF('CALCULADORA TIPS E-6'!$F$10="6% (Medio)",ROUND('Tabla de Amortizacion'!F180,8),IF('CALCULADORA TIPS E-6'!$F$10="10% (Medio Alto)",ROUND('Tabla de Amortizacion'!J180,8),IF('CALCULADORA TIPS E-6'!$F$10="14% (Alto)",ROUND('Tabla de Amortizacion'!N180,8),IF('CALCULADORA TIPS E-6'!$F$10=20%,ROUND('Tabla de Amortizacion'!R180,8),ROUND('Tabla de Amortizacion'!V180,8))))))</f>
        <v>0</v>
      </c>
      <c r="C179" s="154">
        <f>IF('CALCULADORA TIPS E-6'!$F$10="Contractual",ROUND('Tabla de Amortizacion'!C180,8),IF('CALCULADORA TIPS E-6'!$F$10="6% (Medio)",ROUND('Tabla de Amortizacion'!G180,8),IF('CALCULADORA TIPS E-6'!$F$10="10% (Medio Alto)",ROUND('Tabla de Amortizacion'!K180,8),IF('CALCULADORA TIPS E-6'!$F$10="14% (Alto)",ROUND('Tabla de Amortizacion'!O180,8),IF('CALCULADORA TIPS E-6'!$F$10=20%,ROUND('Tabla de Amortizacion'!S180,8),ROUND('Tabla de Amortizacion'!W180,8))))))</f>
        <v>0</v>
      </c>
      <c r="D179" s="154">
        <f>IF('CALCULADORA TIPS E-6'!$F$10="Contractual",ROUND('Tabla de Amortizacion'!D180,8),IF('CALCULADORA TIPS E-6'!$F$10="6% (Medio)",ROUND('Tabla de Amortizacion'!H180,8),IF('CALCULADORA TIPS E-6'!$F$10="10% (Medio Alto)",ROUND('Tabla de Amortizacion'!L180,8),IF('CALCULADORA TIPS E-6'!$F$10="14% (Alto)",ROUND('Tabla de Amortizacion'!P180,8),IF('CALCULADORA TIPS E-6'!$F$10=20%,ROUND('Tabla de Amortizacion'!T180,8),ROUND('Tabla de Amortizacion'!X180,8))))))</f>
        <v>0</v>
      </c>
    </row>
    <row r="180" spans="1:4" ht="12.75">
      <c r="A180" s="153">
        <f t="shared" si="5"/>
        <v>43790</v>
      </c>
      <c r="B180" s="154">
        <f>IF('CALCULADORA TIPS E-6'!$F$10="Contractual",ROUND('Tabla de Amortizacion'!B181,8),IF('CALCULADORA TIPS E-6'!$F$10="6% (Medio)",ROUND('Tabla de Amortizacion'!F181,8),IF('CALCULADORA TIPS E-6'!$F$10="10% (Medio Alto)",ROUND('Tabla de Amortizacion'!J181,8),IF('CALCULADORA TIPS E-6'!$F$10="14% (Alto)",ROUND('Tabla de Amortizacion'!N181,8),IF('CALCULADORA TIPS E-6'!$F$10=20%,ROUND('Tabla de Amortizacion'!R181,8),ROUND('Tabla de Amortizacion'!V181,8))))))</f>
        <v>0</v>
      </c>
      <c r="C180" s="154">
        <f>IF('CALCULADORA TIPS E-6'!$F$10="Contractual",ROUND('Tabla de Amortizacion'!C181,8),IF('CALCULADORA TIPS E-6'!$F$10="6% (Medio)",ROUND('Tabla de Amortizacion'!G181,8),IF('CALCULADORA TIPS E-6'!$F$10="10% (Medio Alto)",ROUND('Tabla de Amortizacion'!K181,8),IF('CALCULADORA TIPS E-6'!$F$10="14% (Alto)",ROUND('Tabla de Amortizacion'!O181,8),IF('CALCULADORA TIPS E-6'!$F$10=20%,ROUND('Tabla de Amortizacion'!S181,8),ROUND('Tabla de Amortizacion'!W181,8))))))</f>
        <v>0</v>
      </c>
      <c r="D180" s="154">
        <f>IF('CALCULADORA TIPS E-6'!$F$10="Contractual",ROUND('Tabla de Amortizacion'!D181,8),IF('CALCULADORA TIPS E-6'!$F$10="6% (Medio)",ROUND('Tabla de Amortizacion'!H181,8),IF('CALCULADORA TIPS E-6'!$F$10="10% (Medio Alto)",ROUND('Tabla de Amortizacion'!L181,8),IF('CALCULADORA TIPS E-6'!$F$10="14% (Alto)",ROUND('Tabla de Amortizacion'!P181,8),IF('CALCULADORA TIPS E-6'!$F$10=20%,ROUND('Tabla de Amortizacion'!T181,8),ROUND('Tabla de Amortizacion'!X181,8))))))</f>
        <v>0</v>
      </c>
    </row>
    <row r="181" spans="1:4" ht="13.5" thickBot="1">
      <c r="A181" s="155">
        <f t="shared" si="5"/>
        <v>43820</v>
      </c>
      <c r="B181" s="156">
        <f>IF('CALCULADORA TIPS E-6'!$F$10="Contractual",ROUND('Tabla de Amortizacion'!B182,8),IF('CALCULADORA TIPS E-6'!$F$10="6% (Medio)",ROUND('Tabla de Amortizacion'!F182,8),IF('CALCULADORA TIPS E-6'!$F$10="10% (Medio Alto)",ROUND('Tabla de Amortizacion'!J182,8),IF('CALCULADORA TIPS E-6'!$F$10="14% (Alto)",ROUND('Tabla de Amortizacion'!N182,8),IF('CALCULADORA TIPS E-6'!$F$10=20%,ROUND('Tabla de Amortizacion'!R182,8),ROUND('Tabla de Amortizacion'!V182,8))))))</f>
        <v>0</v>
      </c>
      <c r="C181" s="156">
        <f>IF('CALCULADORA TIPS E-6'!$F$10="Contractual",ROUND('Tabla de Amortizacion'!C182,8),IF('CALCULADORA TIPS E-6'!$F$10="6% (Medio)",ROUND('Tabla de Amortizacion'!G182,8),IF('CALCULADORA TIPS E-6'!$F$10="10% (Medio Alto)",ROUND('Tabla de Amortizacion'!K182,8),IF('CALCULADORA TIPS E-6'!$F$10="14% (Alto)",ROUND('Tabla de Amortizacion'!O182,8),IF('CALCULADORA TIPS E-6'!$F$10=20%,ROUND('Tabla de Amortizacion'!S182,8),ROUND('Tabla de Amortizacion'!W182,8))))))</f>
        <v>0</v>
      </c>
      <c r="D181" s="156">
        <f>IF('CALCULADORA TIPS E-6'!$F$10="Contractual",ROUND('Tabla de Amortizacion'!D182,8),IF('CALCULADORA TIPS E-6'!$F$10="6% (Medio)",ROUND('Tabla de Amortizacion'!H182,8),IF('CALCULADORA TIPS E-6'!$F$10="10% (Medio Alto)",ROUND('Tabla de Amortizacion'!L182,8),IF('CALCULADORA TIPS E-6'!$F$10="14% (Alto)",ROUND('Tabla de Amortizacion'!P182,8),IF('CALCULADORA TIPS E-6'!$F$10=20%,ROUND('Tabla de Amortizacion'!T182,8),ROUND('Tabla de Amortizacion'!X182,8))))))</f>
        <v>0</v>
      </c>
    </row>
  </sheetData>
  <sheetProtection password="C579" sheet="1" objects="1" scenarios="1"/>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H16"/>
  <sheetViews>
    <sheetView zoomScalePageLayoutView="0" workbookViewId="0" topLeftCell="A1">
      <selection activeCell="H27" sqref="H27"/>
    </sheetView>
  </sheetViews>
  <sheetFormatPr defaultColWidth="11.421875" defaultRowHeight="12.75"/>
  <cols>
    <col min="1" max="16384" width="11.421875" style="2" customWidth="1"/>
  </cols>
  <sheetData>
    <row r="1" spans="1:8" ht="12.75">
      <c r="A1" s="276" t="s">
        <v>84</v>
      </c>
      <c r="B1" s="277"/>
      <c r="C1" s="277"/>
      <c r="D1" s="277"/>
      <c r="E1" s="277"/>
      <c r="F1" s="277"/>
      <c r="G1" s="277"/>
      <c r="H1" s="277"/>
    </row>
    <row r="2" spans="1:8" ht="12.75">
      <c r="A2" s="277"/>
      <c r="B2" s="277"/>
      <c r="C2" s="277"/>
      <c r="D2" s="277"/>
      <c r="E2" s="277"/>
      <c r="F2" s="277"/>
      <c r="G2" s="277"/>
      <c r="H2" s="277"/>
    </row>
    <row r="3" spans="1:8" ht="12.75">
      <c r="A3" s="277"/>
      <c r="B3" s="277"/>
      <c r="C3" s="277"/>
      <c r="D3" s="277"/>
      <c r="E3" s="277"/>
      <c r="F3" s="277"/>
      <c r="G3" s="277"/>
      <c r="H3" s="277"/>
    </row>
    <row r="4" spans="1:8" ht="12.75">
      <c r="A4" s="277"/>
      <c r="B4" s="277"/>
      <c r="C4" s="277"/>
      <c r="D4" s="277"/>
      <c r="E4" s="277"/>
      <c r="F4" s="277"/>
      <c r="G4" s="277"/>
      <c r="H4" s="277"/>
    </row>
    <row r="5" spans="1:8" ht="12.75">
      <c r="A5" s="277"/>
      <c r="B5" s="277"/>
      <c r="C5" s="277"/>
      <c r="D5" s="277"/>
      <c r="E5" s="277"/>
      <c r="F5" s="277"/>
      <c r="G5" s="277"/>
      <c r="H5" s="277"/>
    </row>
    <row r="6" spans="1:8" ht="12.75">
      <c r="A6" s="277"/>
      <c r="B6" s="277"/>
      <c r="C6" s="277"/>
      <c r="D6" s="277"/>
      <c r="E6" s="277"/>
      <c r="F6" s="277"/>
      <c r="G6" s="277"/>
      <c r="H6" s="277"/>
    </row>
    <row r="7" spans="1:8" ht="12.75">
      <c r="A7" s="277"/>
      <c r="B7" s="277"/>
      <c r="C7" s="277"/>
      <c r="D7" s="277"/>
      <c r="E7" s="277"/>
      <c r="F7" s="277"/>
      <c r="G7" s="277"/>
      <c r="H7" s="277"/>
    </row>
    <row r="8" spans="1:8" ht="12.75">
      <c r="A8" s="277"/>
      <c r="B8" s="277"/>
      <c r="C8" s="277"/>
      <c r="D8" s="277"/>
      <c r="E8" s="277"/>
      <c r="F8" s="277"/>
      <c r="G8" s="277"/>
      <c r="H8" s="277"/>
    </row>
    <row r="9" spans="1:8" ht="12.75">
      <c r="A9" s="277"/>
      <c r="B9" s="277"/>
      <c r="C9" s="277"/>
      <c r="D9" s="277"/>
      <c r="E9" s="277"/>
      <c r="F9" s="277"/>
      <c r="G9" s="277"/>
      <c r="H9" s="277"/>
    </row>
    <row r="10" spans="1:8" ht="12.75">
      <c r="A10" s="277"/>
      <c r="B10" s="277"/>
      <c r="C10" s="277"/>
      <c r="D10" s="277"/>
      <c r="E10" s="277"/>
      <c r="F10" s="277"/>
      <c r="G10" s="277"/>
      <c r="H10" s="277"/>
    </row>
    <row r="11" spans="1:8" ht="12.75">
      <c r="A11" s="277"/>
      <c r="B11" s="277"/>
      <c r="C11" s="277"/>
      <c r="D11" s="277"/>
      <c r="E11" s="277"/>
      <c r="F11" s="277"/>
      <c r="G11" s="277"/>
      <c r="H11" s="277"/>
    </row>
    <row r="12" spans="1:8" ht="12.75">
      <c r="A12" s="277"/>
      <c r="B12" s="277"/>
      <c r="C12" s="277"/>
      <c r="D12" s="277"/>
      <c r="E12" s="277"/>
      <c r="F12" s="277"/>
      <c r="G12" s="277"/>
      <c r="H12" s="277"/>
    </row>
    <row r="13" spans="1:8" ht="12.75">
      <c r="A13" s="277"/>
      <c r="B13" s="277"/>
      <c r="C13" s="277"/>
      <c r="D13" s="277"/>
      <c r="E13" s="277"/>
      <c r="F13" s="277"/>
      <c r="G13" s="277"/>
      <c r="H13" s="277"/>
    </row>
    <row r="14" spans="1:8" ht="12.75">
      <c r="A14" s="277"/>
      <c r="B14" s="277"/>
      <c r="C14" s="277"/>
      <c r="D14" s="277"/>
      <c r="E14" s="277"/>
      <c r="F14" s="277"/>
      <c r="G14" s="277"/>
      <c r="H14" s="277"/>
    </row>
    <row r="16" ht="12.75">
      <c r="A16" s="173" t="s">
        <v>83</v>
      </c>
    </row>
  </sheetData>
  <sheetProtection password="C579" sheet="1" objects="1" scenarios="1"/>
  <mergeCells count="1">
    <mergeCell ref="A1:H14"/>
  </mergeCells>
  <hyperlinks>
    <hyperlink ref="A16" location="'CALCULADORA TIPS E-6'!C2"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Sandra Moreno López</cp:lastModifiedBy>
  <cp:lastPrinted>2008-01-08T21:41:33Z</cp:lastPrinted>
  <dcterms:created xsi:type="dcterms:W3CDTF">2002-04-18T20:31:17Z</dcterms:created>
  <dcterms:modified xsi:type="dcterms:W3CDTF">2011-08-22T15:14:35Z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