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2120" windowHeight="4275" tabRatio="658" activeTab="0"/>
  </bookViews>
  <sheets>
    <sheet name="CALCULADORA TIPS Pesos E-11" sheetId="1" r:id="rId1"/>
    <sheet name="Características" sheetId="2" state="hidden" r:id="rId2"/>
    <sheet name="Flujos" sheetId="3" r:id="rId3"/>
    <sheet name="Exclusión" sheetId="4" r:id="rId4"/>
    <sheet name="Tabla de Amortizacion" sheetId="5" state="hidden" r:id="rId5"/>
    <sheet name="Tablas" sheetId="6" state="hidden" r:id="rId6"/>
  </sheets>
  <definedNames/>
  <calcPr fullCalcOnLoad="1"/>
</workbook>
</file>

<file path=xl/comments1.xml><?xml version="1.0" encoding="utf-8"?>
<comments xmlns="http://schemas.openxmlformats.org/spreadsheetml/2006/main">
  <authors>
    <author>aamezquita</author>
  </authors>
  <commentList>
    <comment ref="F8" authorId="0">
      <text>
        <r>
          <rPr>
            <sz val="8"/>
            <rFont val="Tahoma"/>
            <family val="2"/>
          </rPr>
          <t>El criterio de la calculadora es el de cálculo de TIR a partir del precio limpio, conforme MECPlus. El  cálculo de precio limpio a partir de TIR puede presentar diferencias.</t>
        </r>
      </text>
    </comment>
  </commentList>
</comments>
</file>

<file path=xl/sharedStrings.xml><?xml version="1.0" encoding="utf-8"?>
<sst xmlns="http://schemas.openxmlformats.org/spreadsheetml/2006/main" count="106" uniqueCount="87">
  <si>
    <t>FECHA</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</si>
  <si>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</si>
  <si>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</si>
  <si>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</si>
  <si>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</si>
  <si>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</si>
  <si>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</si>
  <si>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</si>
  <si>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</si>
  <si>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</si>
  <si>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</si>
  <si>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</si>
  <si>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</si>
  <si>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</si>
  <si>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</si>
  <si>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</si>
  <si>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</si>
  <si>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Nemotécnico MEC</t>
  </si>
  <si>
    <t>Control</t>
  </si>
  <si>
    <t>Mes inicial</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</si>
  <si>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</si>
  <si>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</si>
  <si>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</si>
  <si>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</si>
  <si>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</si>
  <si>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</si>
  <si>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</si>
  <si>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</si>
  <si>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</si>
  <si>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</si>
  <si>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</si>
  <si>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</si>
  <si>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</si>
  <si>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</si>
  <si>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</si>
  <si>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</si>
  <si>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</si>
  <si>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</si>
  <si>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</si>
  <si>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Prepago  6% (Medio)</t>
  </si>
  <si>
    <t>Escenario de Prepago  10% (Medio Alto)</t>
  </si>
  <si>
    <t>Escenario de Prepago  14% (Alto)</t>
  </si>
  <si>
    <t>Escenario de Prepago  20%</t>
  </si>
  <si>
    <t>Días Hábiles</t>
  </si>
  <si>
    <t>ISIN</t>
  </si>
  <si>
    <t>Volver</t>
  </si>
  <si>
    <t>TIPS Pesos E-11 A 2019</t>
  </si>
  <si>
    <t>TIPS Pesos E-11 A 2024</t>
  </si>
  <si>
    <t>IRST10130519</t>
  </si>
  <si>
    <t>IRST15130524</t>
  </si>
  <si>
    <t>COF80TI01376</t>
  </si>
  <si>
    <t>COF80TI01384</t>
  </si>
  <si>
    <t>CALCULADORA DE PRECIOS TIPS PESOS E-11</t>
  </si>
  <si>
    <t>Seleccionar la serie</t>
  </si>
  <si>
    <t>Características</t>
  </si>
  <si>
    <t>Fecha de Emisión</t>
  </si>
  <si>
    <t>Vencimiento Contractual</t>
  </si>
  <si>
    <t>Tasa Facial Efectiva Anual</t>
  </si>
  <si>
    <t>Tasa Facial Mes Vencido</t>
  </si>
  <si>
    <t>Vida Media Restante</t>
  </si>
  <si>
    <t>Vida Media desde Emisión</t>
  </si>
  <si>
    <t>Duración Macaulay</t>
  </si>
  <si>
    <t>Duración Modificada</t>
  </si>
  <si>
    <t xml:space="preserve">Nominal Inicial </t>
  </si>
  <si>
    <t>Exclusión de responsabilidad</t>
  </si>
  <si>
    <t>Celdas modificables</t>
  </si>
  <si>
    <t>Cálculo de precio y rentabilidad</t>
  </si>
  <si>
    <t>Escenario de Prepagos</t>
  </si>
  <si>
    <t>Tasa de Descuento EA</t>
  </si>
  <si>
    <t>Precio Limpio</t>
  </si>
  <si>
    <t>Precio Sucio</t>
  </si>
  <si>
    <t>Vencimiento Estimado</t>
  </si>
  <si>
    <t>Restante por 100 de Inicial</t>
  </si>
  <si>
    <t>Nominal Restante a transar</t>
  </si>
  <si>
    <t>Contravalor (Valoración)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</si>
  <si>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</si>
  <si>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Fecha</t>
  </si>
  <si>
    <t>Días 365</t>
  </si>
  <si>
    <t>Amortización</t>
  </si>
  <si>
    <t>Saldo</t>
  </si>
  <si>
    <t>Flujo de Capital</t>
  </si>
  <si>
    <t>Flujo de Intereses</t>
  </si>
  <si>
    <t>Flujo Total</t>
  </si>
  <si>
    <t>Contractual</t>
  </si>
  <si>
    <t>Valoración</t>
  </si>
  <si>
    <t>Escenario de Amortización Contractual</t>
  </si>
  <si>
    <t>Tabla de Amortización Valoración</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</si>
</sst>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00%"/>
    <numFmt numFmtId="183" formatCode="0.000%"/>
    <numFmt numFmtId="184" formatCode="_ * #,##0_ ;_ * \-#,##0_ ;_ * &quot;-&quot;??_ ;_ @_ "/>
    <numFmt numFmtId="185" formatCode="0.000000000%"/>
    <numFmt numFmtId="186" formatCode="0.0000000%"/>
    <numFmt numFmtId="187" formatCode="#,##0.000000_ ;\-#,##0.000000\ "/>
    <numFmt numFmtId="188" formatCode="#,##0.000_ ;\-#,##0.000\ "/>
    <numFmt numFmtId="189" formatCode="0.0000%"/>
    <numFmt numFmtId="190" formatCode="_-* #,##0\ _p_t_a_-;\-* #,##0\ _p_t_a_-;_-* &quot;-&quot;??\ _p_t_a_-;_-@_-"/>
    <numFmt numFmtId="191" formatCode="0.000000%"/>
    <numFmt numFmtId="192" formatCode="_ * #,##0.000_ ;_ * \-#,##0.000_ ;_ * &quot;-&quot;???_ ;_ @_ "/>
    <numFmt numFmtId="193" formatCode="_ * #,##0.000_ ;_ * \-#,##0.000_ ;_ * &quot;-&quot;??_ ;_ @_ "/>
    <numFmt numFmtId="194" formatCode="_ * #,##0.0000_ ;_ * \-#,##0.0000_ ;_ * &quot;-&quot;??_ ;_ @_ "/>
    <numFmt numFmtId="195" formatCode="_ * #,##0.00000_ ;_ * \-#,##0.00000_ ;_ * &quot;-&quot;??_ ;_ @_ "/>
    <numFmt numFmtId="196" formatCode="_ * #,##0.000000_ ;_ * \-#,##0.000000_ ;_ * &quot;-&quot;??_ ;_ @_ "/>
    <numFmt numFmtId="197" formatCode="#,##0_ ;\-#,##0\ "/>
    <numFmt numFmtId="198" formatCode="_ * #,##0.0000_ ;_ * \-#,##0.0000_ ;_ * &quot;-&quot;????_ ;_ @_ "/>
    <numFmt numFmtId="199" formatCode="0.000"/>
    <numFmt numFmtId="200" formatCode="0.0000"/>
    <numFmt numFmtId="201" formatCode="0.00000"/>
    <numFmt numFmtId="202" formatCode="0.000000"/>
    <numFmt numFmtId="203" formatCode="0.0000000"/>
    <numFmt numFmtId="204" formatCode="0.00000000"/>
    <numFmt numFmtId="205" formatCode="[$-240A]dddd\,\ dd&quot; de &quot;mmmm&quot; de &quot;yyyy"/>
    <numFmt numFmtId="206" formatCode="_-* #,##0.000\ _p_t_a_-;\-* #,##0.000\ _p_t_a_-;_-* &quot;-&quot;??\ _p_t_a_-;_-@_-"/>
    <numFmt numFmtId="207" formatCode="_-* #,##0.0000\ _p_t_a_-;\-* #,##0.0000\ _p_t_a_-;_-* &quot;-&quot;??\ _p_t_a_-;_-@_-"/>
    <numFmt numFmtId="208" formatCode="_-* #,##0.00000\ _p_t_a_-;\-* #,##0.00000\ _p_t_a_-;_-* &quot;-&quot;??\ _p_t_a_-;_-@_-"/>
    <numFmt numFmtId="209" formatCode="0.0%"/>
    <numFmt numFmtId="210" formatCode="0.000000000000%"/>
    <numFmt numFmtId="211" formatCode="0.0000000000000%"/>
    <numFmt numFmtId="212" formatCode="[$-240A]hh:mm:ss\ AM/PM"/>
    <numFmt numFmtId="213" formatCode="&quot;$&quot;\ #,##0.00"/>
  </numFmts>
  <fonts count="59">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8"/>
      <name val="Arial"/>
      <family val="2"/>
    </font>
    <font>
      <b/>
      <sz val="10"/>
      <color indexed="9"/>
      <name val="Arial"/>
      <family val="2"/>
    </font>
    <font>
      <sz val="11"/>
      <name val="Arial"/>
      <family val="2"/>
    </font>
    <font>
      <b/>
      <sz val="11"/>
      <color indexed="10"/>
      <name val="Arial"/>
      <family val="2"/>
    </font>
    <font>
      <sz val="11"/>
      <name val="Tahoma"/>
      <family val="2"/>
    </font>
    <font>
      <sz val="11"/>
      <color indexed="18"/>
      <name val="Tahoma"/>
      <family val="2"/>
    </font>
    <font>
      <b/>
      <sz val="11"/>
      <color indexed="8"/>
      <name val="Tahoma"/>
      <family val="2"/>
    </font>
    <font>
      <b/>
      <sz val="11"/>
      <name val="Tahoma"/>
      <family val="2"/>
    </font>
    <font>
      <b/>
      <sz val="11"/>
      <color indexed="9"/>
      <name val="Tahoma"/>
      <family val="2"/>
    </font>
    <font>
      <b/>
      <sz val="11"/>
      <color indexed="62"/>
      <name val="Tahoma"/>
      <family val="2"/>
    </font>
    <font>
      <b/>
      <sz val="11"/>
      <color indexed="18"/>
      <name val="Tahoma"/>
      <family val="2"/>
    </font>
    <font>
      <b/>
      <sz val="11"/>
      <color indexed="10"/>
      <name val="Tahoma"/>
      <family val="2"/>
    </font>
    <font>
      <b/>
      <sz val="11"/>
      <color indexed="18"/>
      <name val="Arial"/>
      <family val="2"/>
    </font>
    <font>
      <b/>
      <sz val="10"/>
      <color indexed="18"/>
      <name val="Arial"/>
      <family val="2"/>
    </font>
    <font>
      <sz val="8"/>
      <name val="Tahoma"/>
      <family val="2"/>
    </font>
    <font>
      <b/>
      <sz val="10"/>
      <name val="Tahoma"/>
      <family val="2"/>
    </font>
    <font>
      <b/>
      <sz val="11"/>
      <color indexed="32"/>
      <name val="Arial"/>
      <family val="2"/>
    </font>
    <font>
      <u val="single"/>
      <sz val="8"/>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Tahom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15"/>
        <bgColor indexed="64"/>
      </patternFill>
    </fill>
    <fill>
      <patternFill patternType="solid">
        <fgColor indexed="22"/>
        <bgColor indexed="64"/>
      </patternFill>
    </fill>
    <fill>
      <patternFill patternType="solid">
        <fgColor rgb="FF00FF00"/>
        <bgColor indexed="64"/>
      </patternFill>
    </fill>
    <fill>
      <patternFill patternType="solid">
        <fgColor rgb="FF00206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color indexed="63"/>
      </top>
      <bottom>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color indexed="22"/>
      </left>
      <right>
        <color indexed="63"/>
      </right>
      <top style="thin">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318">
    <xf numFmtId="0" fontId="0" fillId="0" borderId="0" xfId="0" applyAlignment="1">
      <alignment/>
    </xf>
    <xf numFmtId="2" fontId="0" fillId="33" borderId="0" xfId="0" applyNumberFormat="1" applyFill="1" applyAlignment="1" applyProtection="1">
      <alignment/>
      <protection hidden="1"/>
    </xf>
    <xf numFmtId="0" fontId="0" fillId="33" borderId="0" xfId="0" applyFill="1" applyAlignment="1" applyProtection="1">
      <alignment/>
      <protection hidden="1"/>
    </xf>
    <xf numFmtId="0" fontId="0" fillId="33" borderId="0" xfId="0" applyFill="1" applyAlignment="1" applyProtection="1">
      <alignment horizontal="center"/>
      <protection hidden="1"/>
    </xf>
    <xf numFmtId="14" fontId="0" fillId="33" borderId="10" xfId="0" applyNumberFormat="1" applyFill="1" applyBorder="1" applyAlignment="1" applyProtection="1">
      <alignment horizontal="center"/>
      <protection hidden="1"/>
    </xf>
    <xf numFmtId="191" fontId="0" fillId="33" borderId="11" xfId="54" applyNumberFormat="1" applyFont="1" applyFill="1" applyBorder="1" applyAlignment="1" applyProtection="1">
      <alignment/>
      <protection hidden="1"/>
    </xf>
    <xf numFmtId="171" fontId="0" fillId="33" borderId="0" xfId="0" applyNumberFormat="1" applyFill="1" applyAlignment="1" applyProtection="1">
      <alignment/>
      <protection hidden="1"/>
    </xf>
    <xf numFmtId="0" fontId="4" fillId="33" borderId="12" xfId="0" applyFont="1" applyFill="1" applyBorder="1" applyAlignment="1" applyProtection="1">
      <alignment horizontal="center"/>
      <protection hidden="1"/>
    </xf>
    <xf numFmtId="0" fontId="4" fillId="33" borderId="13" xfId="0" applyFont="1" applyFill="1" applyBorder="1" applyAlignment="1" applyProtection="1">
      <alignment/>
      <protection hidden="1"/>
    </xf>
    <xf numFmtId="169" fontId="0" fillId="33" borderId="11" xfId="48" applyNumberFormat="1" applyFont="1" applyFill="1" applyBorder="1" applyAlignment="1" applyProtection="1">
      <alignment horizontal="center"/>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0" fontId="0" fillId="33" borderId="14" xfId="0" applyFont="1" applyFill="1" applyBorder="1" applyAlignment="1" applyProtection="1">
      <alignment horizontal="center"/>
      <protection hidden="1"/>
    </xf>
    <xf numFmtId="0" fontId="0" fillId="33" borderId="15" xfId="0" applyFont="1" applyFill="1" applyBorder="1" applyAlignment="1" applyProtection="1">
      <alignment horizontal="center"/>
      <protection hidden="1"/>
    </xf>
    <xf numFmtId="196" fontId="0" fillId="33" borderId="11" xfId="48" applyNumberFormat="1" applyFont="1" applyFill="1" applyBorder="1" applyAlignment="1" applyProtection="1">
      <alignment/>
      <protection hidden="1"/>
    </xf>
    <xf numFmtId="196" fontId="0" fillId="33" borderId="11" xfId="48" applyNumberFormat="1" applyFont="1" applyFill="1" applyBorder="1" applyAlignment="1" applyProtection="1">
      <alignment horizontal="right"/>
      <protection hidden="1"/>
    </xf>
    <xf numFmtId="196" fontId="4" fillId="33" borderId="13" xfId="0" applyNumberFormat="1" applyFont="1" applyFill="1" applyBorder="1" applyAlignment="1" applyProtection="1">
      <alignment/>
      <protection hidden="1"/>
    </xf>
    <xf numFmtId="2" fontId="6" fillId="34" borderId="16" xfId="54" applyNumberFormat="1" applyFont="1" applyFill="1" applyBorder="1" applyAlignment="1" applyProtection="1">
      <alignment horizontal="center" vertical="center"/>
      <protection hidden="1"/>
    </xf>
    <xf numFmtId="182" fontId="6" fillId="34" borderId="17" xfId="54" applyNumberFormat="1" applyFont="1" applyFill="1" applyBorder="1" applyAlignment="1" applyProtection="1">
      <alignment horizontal="center" vertical="center"/>
      <protection hidden="1"/>
    </xf>
    <xf numFmtId="2" fontId="6" fillId="34" borderId="17" xfId="54" applyNumberFormat="1"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191" fontId="4" fillId="35" borderId="17" xfId="54" applyNumberFormat="1" applyFont="1" applyFill="1" applyBorder="1" applyAlignment="1" applyProtection="1">
      <alignment/>
      <protection hidden="1"/>
    </xf>
    <xf numFmtId="196" fontId="4" fillId="33" borderId="19" xfId="48" applyNumberFormat="1" applyFont="1" applyFill="1" applyBorder="1" applyAlignment="1" applyProtection="1">
      <alignment/>
      <protection hidden="1"/>
    </xf>
    <xf numFmtId="196" fontId="4" fillId="33" borderId="18" xfId="48" applyNumberFormat="1" applyFont="1" applyFill="1" applyBorder="1" applyAlignment="1" applyProtection="1">
      <alignment/>
      <protection hidden="1"/>
    </xf>
    <xf numFmtId="0" fontId="6" fillId="34" borderId="13" xfId="0" applyFont="1" applyFill="1" applyBorder="1" applyAlignment="1" applyProtection="1">
      <alignment horizontal="center" vertical="center"/>
      <protection hidden="1"/>
    </xf>
    <xf numFmtId="0" fontId="0" fillId="33" borderId="0" xfId="0" applyFont="1" applyFill="1" applyBorder="1" applyAlignment="1" applyProtection="1">
      <alignment horizontal="center"/>
      <protection hidden="1"/>
    </xf>
    <xf numFmtId="0" fontId="0" fillId="33" borderId="20" xfId="0" applyFont="1" applyFill="1" applyBorder="1" applyAlignment="1" applyProtection="1">
      <alignment horizontal="center"/>
      <protection hidden="1"/>
    </xf>
    <xf numFmtId="182" fontId="6" fillId="34" borderId="19" xfId="54" applyNumberFormat="1" applyFont="1" applyFill="1" applyBorder="1" applyAlignment="1" applyProtection="1">
      <alignment horizontal="center" vertical="center"/>
      <protection hidden="1"/>
    </xf>
    <xf numFmtId="196" fontId="0" fillId="33" borderId="21" xfId="48" applyNumberFormat="1" applyFont="1" applyFill="1" applyBorder="1" applyAlignment="1" applyProtection="1">
      <alignment horizontal="right"/>
      <protection hidden="1"/>
    </xf>
    <xf numFmtId="0" fontId="6" fillId="34" borderId="17" xfId="0" applyFont="1" applyFill="1" applyBorder="1" applyAlignment="1" applyProtection="1">
      <alignment horizontal="center" vertical="center"/>
      <protection hidden="1"/>
    </xf>
    <xf numFmtId="14" fontId="0" fillId="33" borderId="11" xfId="0" applyNumberFormat="1" applyFont="1" applyFill="1" applyBorder="1" applyAlignment="1" applyProtection="1">
      <alignment horizontal="center"/>
      <protection hidden="1"/>
    </xf>
    <xf numFmtId="14" fontId="0" fillId="33" borderId="22" xfId="0" applyNumberFormat="1" applyFont="1" applyFill="1" applyBorder="1" applyAlignment="1" applyProtection="1">
      <alignment horizontal="center"/>
      <protection hidden="1"/>
    </xf>
    <xf numFmtId="192" fontId="0" fillId="33" borderId="0" xfId="0" applyNumberFormat="1" applyFill="1" applyAlignment="1" applyProtection="1">
      <alignment/>
      <protection hidden="1"/>
    </xf>
    <xf numFmtId="0" fontId="0" fillId="33" borderId="23" xfId="0" applyFont="1" applyFill="1" applyBorder="1" applyAlignment="1" applyProtection="1">
      <alignment/>
      <protection hidden="1"/>
    </xf>
    <xf numFmtId="14" fontId="0" fillId="33" borderId="24" xfId="0" applyNumberFormat="1" applyFont="1" applyFill="1" applyBorder="1" applyAlignment="1" applyProtection="1">
      <alignment/>
      <protection hidden="1"/>
    </xf>
    <xf numFmtId="196" fontId="0" fillId="33" borderId="24" xfId="48" applyNumberFormat="1" applyFont="1" applyFill="1" applyBorder="1" applyAlignment="1" applyProtection="1">
      <alignment horizontal="right"/>
      <protection hidden="1"/>
    </xf>
    <xf numFmtId="184" fontId="0" fillId="33" borderId="24" xfId="48" applyNumberFormat="1" applyFont="1" applyFill="1" applyBorder="1" applyAlignment="1" applyProtection="1">
      <alignment horizontal="right"/>
      <protection hidden="1"/>
    </xf>
    <xf numFmtId="195" fontId="0" fillId="33" borderId="24" xfId="48" applyNumberFormat="1" applyFont="1" applyFill="1" applyBorder="1" applyAlignment="1" applyProtection="1">
      <alignment horizontal="right"/>
      <protection hidden="1"/>
    </xf>
    <xf numFmtId="194" fontId="0" fillId="33" borderId="24" xfId="48" applyNumberFormat="1" applyFont="1" applyFill="1" applyBorder="1" applyAlignment="1" applyProtection="1">
      <alignment horizontal="right"/>
      <protection hidden="1"/>
    </xf>
    <xf numFmtId="0" fontId="0" fillId="33" borderId="25" xfId="0" applyFont="1" applyFill="1" applyBorder="1" applyAlignment="1" applyProtection="1">
      <alignment/>
      <protection hidden="1"/>
    </xf>
    <xf numFmtId="183" fontId="0" fillId="33" borderId="26" xfId="54" applyNumberFormat="1" applyFont="1" applyFill="1" applyBorder="1" applyAlignment="1" applyProtection="1">
      <alignment horizontal="right"/>
      <protection hidden="1"/>
    </xf>
    <xf numFmtId="193" fontId="0" fillId="33" borderId="24" xfId="48" applyNumberFormat="1" applyFont="1" applyFill="1" applyBorder="1" applyAlignment="1" applyProtection="1">
      <alignment horizontal="right"/>
      <protection hidden="1"/>
    </xf>
    <xf numFmtId="171" fontId="0" fillId="33" borderId="24" xfId="48" applyNumberFormat="1" applyFont="1" applyFill="1" applyBorder="1" applyAlignment="1" applyProtection="1">
      <alignment horizontal="right"/>
      <protection hidden="1"/>
    </xf>
    <xf numFmtId="171" fontId="4" fillId="33" borderId="19" xfId="48" applyNumberFormat="1" applyFont="1" applyFill="1" applyBorder="1" applyAlignment="1" applyProtection="1">
      <alignment/>
      <protection hidden="1"/>
    </xf>
    <xf numFmtId="171" fontId="4" fillId="33" borderId="18" xfId="48" applyNumberFormat="1" applyFont="1" applyFill="1" applyBorder="1" applyAlignment="1" applyProtection="1">
      <alignment/>
      <protection hidden="1"/>
    </xf>
    <xf numFmtId="2" fontId="6" fillId="34" borderId="18" xfId="54" applyNumberFormat="1" applyFont="1" applyFill="1" applyBorder="1" applyAlignment="1" applyProtection="1">
      <alignment horizontal="center" vertical="center"/>
      <protection hidden="1"/>
    </xf>
    <xf numFmtId="0" fontId="9" fillId="0" borderId="0" xfId="0" applyFont="1" applyAlignment="1" applyProtection="1">
      <alignment/>
      <protection hidden="1"/>
    </xf>
    <xf numFmtId="0" fontId="9" fillId="33" borderId="0" xfId="0" applyFont="1" applyFill="1" applyBorder="1" applyAlignment="1" applyProtection="1">
      <alignment/>
      <protection hidden="1"/>
    </xf>
    <xf numFmtId="0" fontId="10" fillId="33" borderId="0" xfId="0" applyFont="1" applyFill="1" applyBorder="1" applyAlignment="1" applyProtection="1">
      <alignment/>
      <protection hidden="1"/>
    </xf>
    <xf numFmtId="0" fontId="9" fillId="0" borderId="0" xfId="0" applyFont="1" applyFill="1" applyBorder="1" applyAlignment="1" applyProtection="1">
      <alignment/>
      <protection hidden="1"/>
    </xf>
    <xf numFmtId="0" fontId="9" fillId="0" borderId="0" xfId="0" applyFont="1" applyFill="1" applyBorder="1" applyAlignment="1" applyProtection="1">
      <alignment horizontal="center"/>
      <protection hidden="1"/>
    </xf>
    <xf numFmtId="14" fontId="9" fillId="0" borderId="0" xfId="0" applyNumberFormat="1" applyFont="1" applyFill="1" applyBorder="1" applyAlignment="1" applyProtection="1">
      <alignment horizontal="center"/>
      <protection hidden="1"/>
    </xf>
    <xf numFmtId="0" fontId="15" fillId="33" borderId="0" xfId="0" applyFont="1" applyFill="1" applyBorder="1" applyAlignment="1" applyProtection="1">
      <alignment horizontal="left" vertical="center" indent="14"/>
      <protection hidden="1"/>
    </xf>
    <xf numFmtId="0" fontId="11" fillId="33" borderId="0" xfId="0" applyFont="1" applyFill="1" applyBorder="1" applyAlignment="1" applyProtection="1">
      <alignment horizontal="left" vertical="center" indent="14"/>
      <protection hidden="1"/>
    </xf>
    <xf numFmtId="0" fontId="9" fillId="0" borderId="0" xfId="0" applyFont="1" applyFill="1" applyAlignment="1" applyProtection="1">
      <alignment/>
      <protection hidden="1"/>
    </xf>
    <xf numFmtId="14" fontId="9" fillId="36" borderId="0" xfId="0" applyNumberFormat="1" applyFont="1" applyFill="1" applyAlignment="1" applyProtection="1">
      <alignment/>
      <protection hidden="1"/>
    </xf>
    <xf numFmtId="14" fontId="9" fillId="0" borderId="0" xfId="0" applyNumberFormat="1" applyFont="1" applyFill="1" applyBorder="1" applyAlignment="1" applyProtection="1">
      <alignment/>
      <protection hidden="1"/>
    </xf>
    <xf numFmtId="0" fontId="11" fillId="33" borderId="0" xfId="0" applyFont="1" applyFill="1" applyBorder="1" applyAlignment="1" applyProtection="1">
      <alignment vertical="center"/>
      <protection hidden="1"/>
    </xf>
    <xf numFmtId="0" fontId="9" fillId="33" borderId="27" xfId="0" applyFont="1" applyFill="1" applyBorder="1" applyAlignment="1" applyProtection="1">
      <alignment/>
      <protection hidden="1"/>
    </xf>
    <xf numFmtId="0" fontId="13" fillId="34" borderId="28" xfId="0" applyFont="1" applyFill="1" applyBorder="1" applyAlignment="1" applyProtection="1">
      <alignment horizontal="left"/>
      <protection hidden="1"/>
    </xf>
    <xf numFmtId="0" fontId="13" fillId="34" borderId="29" xfId="0" applyFont="1" applyFill="1" applyBorder="1" applyAlignment="1" applyProtection="1">
      <alignment horizontal="left"/>
      <protection hidden="1"/>
    </xf>
    <xf numFmtId="0" fontId="9" fillId="0" borderId="0" xfId="0" applyFont="1" applyBorder="1" applyAlignment="1" applyProtection="1">
      <alignment/>
      <protection hidden="1"/>
    </xf>
    <xf numFmtId="0" fontId="9" fillId="0" borderId="30" xfId="0" applyFont="1" applyBorder="1" applyAlignment="1" applyProtection="1">
      <alignment/>
      <protection hidden="1"/>
    </xf>
    <xf numFmtId="0" fontId="13" fillId="34" borderId="31" xfId="0" applyFont="1" applyFill="1" applyBorder="1" applyAlignment="1" applyProtection="1">
      <alignment horizontal="left"/>
      <protection hidden="1"/>
    </xf>
    <xf numFmtId="0" fontId="9" fillId="0" borderId="31" xfId="0" applyFont="1" applyBorder="1" applyAlignment="1" applyProtection="1">
      <alignment/>
      <protection hidden="1"/>
    </xf>
    <xf numFmtId="9" fontId="9" fillId="0" borderId="0" xfId="0" applyNumberFormat="1" applyFont="1" applyFill="1" applyBorder="1" applyAlignment="1" applyProtection="1">
      <alignment horizontal="left"/>
      <protection hidden="1"/>
    </xf>
    <xf numFmtId="0" fontId="9" fillId="0" borderId="32" xfId="0" applyFont="1" applyBorder="1" applyAlignment="1" applyProtection="1">
      <alignment/>
      <protection hidden="1"/>
    </xf>
    <xf numFmtId="14" fontId="9" fillId="0" borderId="33" xfId="0" applyNumberFormat="1" applyFont="1" applyBorder="1" applyAlignment="1" applyProtection="1">
      <alignment/>
      <protection hidden="1"/>
    </xf>
    <xf numFmtId="14" fontId="9" fillId="0" borderId="34" xfId="0" applyNumberFormat="1" applyFont="1" applyBorder="1" applyAlignment="1" applyProtection="1">
      <alignment horizontal="right" indent="1"/>
      <protection hidden="1"/>
    </xf>
    <xf numFmtId="0" fontId="9" fillId="0" borderId="27" xfId="0" applyFont="1" applyBorder="1" applyAlignment="1" applyProtection="1">
      <alignment/>
      <protection hidden="1"/>
    </xf>
    <xf numFmtId="14" fontId="9" fillId="0" borderId="32" xfId="0" applyNumberFormat="1" applyFont="1" applyBorder="1" applyAlignment="1" applyProtection="1">
      <alignment/>
      <protection hidden="1"/>
    </xf>
    <xf numFmtId="14" fontId="9" fillId="0" borderId="27" xfId="0" applyNumberFormat="1" applyFont="1" applyBorder="1" applyAlignment="1" applyProtection="1">
      <alignment horizontal="right" indent="1"/>
      <protection hidden="1"/>
    </xf>
    <xf numFmtId="0" fontId="16" fillId="36" borderId="32" xfId="0" applyFont="1" applyFill="1" applyBorder="1" applyAlignment="1" applyProtection="1">
      <alignment/>
      <protection hidden="1"/>
    </xf>
    <xf numFmtId="14" fontId="9" fillId="0" borderId="27" xfId="0" applyNumberFormat="1" applyFont="1" applyBorder="1" applyAlignment="1" applyProtection="1">
      <alignment horizontal="center"/>
      <protection hidden="1"/>
    </xf>
    <xf numFmtId="0" fontId="15" fillId="36" borderId="32" xfId="0" applyFont="1" applyFill="1" applyBorder="1" applyAlignment="1" applyProtection="1">
      <alignment/>
      <protection hidden="1"/>
    </xf>
    <xf numFmtId="0" fontId="9" fillId="0" borderId="35" xfId="0" applyFont="1" applyBorder="1" applyAlignment="1" applyProtection="1">
      <alignment/>
      <protection hidden="1"/>
    </xf>
    <xf numFmtId="183" fontId="9" fillId="0" borderId="27" xfId="54" applyNumberFormat="1" applyFont="1" applyBorder="1" applyAlignment="1" applyProtection="1">
      <alignment horizontal="right" indent="1"/>
      <protection hidden="1"/>
    </xf>
    <xf numFmtId="14" fontId="12" fillId="0" borderId="27" xfId="0" applyNumberFormat="1" applyFont="1" applyBorder="1" applyAlignment="1" applyProtection="1">
      <alignment horizontal="right" indent="1"/>
      <protection hidden="1"/>
    </xf>
    <xf numFmtId="187" fontId="9" fillId="0" borderId="27" xfId="48" applyNumberFormat="1" applyFont="1" applyBorder="1" applyAlignment="1" applyProtection="1">
      <alignment horizontal="right" indent="1"/>
      <protection hidden="1"/>
    </xf>
    <xf numFmtId="14" fontId="9" fillId="0" borderId="35" xfId="0" applyNumberFormat="1" applyFont="1" applyBorder="1" applyAlignment="1" applyProtection="1">
      <alignment/>
      <protection hidden="1"/>
    </xf>
    <xf numFmtId="14" fontId="9" fillId="0" borderId="36" xfId="0" applyNumberFormat="1" applyFont="1" applyBorder="1" applyAlignment="1" applyProtection="1">
      <alignment horizontal="right" indent="1"/>
      <protection hidden="1"/>
    </xf>
    <xf numFmtId="2" fontId="15" fillId="33" borderId="34" xfId="0" applyNumberFormat="1" applyFont="1" applyFill="1" applyBorder="1" applyAlignment="1" applyProtection="1">
      <alignment horizontal="right" indent="1"/>
      <protection hidden="1"/>
    </xf>
    <xf numFmtId="14" fontId="9" fillId="0" borderId="37" xfId="0" applyNumberFormat="1" applyFont="1" applyBorder="1" applyAlignment="1" applyProtection="1">
      <alignment/>
      <protection hidden="1"/>
    </xf>
    <xf numFmtId="0" fontId="15" fillId="33" borderId="32" xfId="0" applyFont="1" applyFill="1" applyBorder="1" applyAlignment="1" applyProtection="1">
      <alignment/>
      <protection hidden="1"/>
    </xf>
    <xf numFmtId="2" fontId="15" fillId="33" borderId="27" xfId="0" applyNumberFormat="1" applyFont="1" applyFill="1" applyBorder="1" applyAlignment="1" applyProtection="1">
      <alignment horizontal="right" indent="1"/>
      <protection hidden="1"/>
    </xf>
    <xf numFmtId="2" fontId="15" fillId="33" borderId="0" xfId="0" applyNumberFormat="1" applyFont="1" applyFill="1" applyBorder="1" applyAlignment="1" applyProtection="1">
      <alignment horizontal="center"/>
      <protection hidden="1"/>
    </xf>
    <xf numFmtId="0" fontId="15" fillId="33" borderId="35" xfId="0" applyFont="1" applyFill="1" applyBorder="1" applyAlignment="1" applyProtection="1">
      <alignment/>
      <protection hidden="1"/>
    </xf>
    <xf numFmtId="2" fontId="15" fillId="33" borderId="36" xfId="0" applyNumberFormat="1" applyFont="1" applyFill="1" applyBorder="1" applyAlignment="1" applyProtection="1">
      <alignment horizontal="right" indent="1"/>
      <protection hidden="1"/>
    </xf>
    <xf numFmtId="188" fontId="9" fillId="0" borderId="36" xfId="48" applyNumberFormat="1" applyFont="1" applyBorder="1" applyAlignment="1" applyProtection="1">
      <alignment horizontal="right" indent="1"/>
      <protection hidden="1" locked="0"/>
    </xf>
    <xf numFmtId="14" fontId="9" fillId="0" borderId="0" xfId="0" applyNumberFormat="1" applyFont="1" applyFill="1" applyAlignment="1" applyProtection="1">
      <alignment/>
      <protection hidden="1"/>
    </xf>
    <xf numFmtId="0" fontId="0" fillId="33" borderId="0" xfId="0" applyFont="1" applyFill="1" applyAlignment="1" applyProtection="1">
      <alignment horizontal="center" vertical="center"/>
      <protection hidden="1"/>
    </xf>
    <xf numFmtId="171" fontId="0" fillId="33" borderId="11" xfId="0" applyNumberFormat="1" applyFont="1" applyFill="1" applyBorder="1" applyAlignment="1" applyProtection="1">
      <alignment/>
      <protection hidden="1"/>
    </xf>
    <xf numFmtId="171" fontId="0" fillId="33" borderId="14" xfId="0" applyNumberFormat="1" applyFont="1" applyFill="1" applyBorder="1" applyAlignment="1" applyProtection="1">
      <alignment/>
      <protection hidden="1"/>
    </xf>
    <xf numFmtId="0" fontId="0" fillId="33" borderId="0" xfId="0" applyFont="1" applyFill="1" applyAlignment="1" applyProtection="1">
      <alignment/>
      <protection hidden="1"/>
    </xf>
    <xf numFmtId="171" fontId="0" fillId="33" borderId="10" xfId="0" applyNumberFormat="1" applyFont="1" applyFill="1" applyBorder="1" applyAlignment="1" applyProtection="1">
      <alignment/>
      <protection hidden="1"/>
    </xf>
    <xf numFmtId="171" fontId="0" fillId="33" borderId="38"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171" fontId="0" fillId="33" borderId="15" xfId="0" applyNumberFormat="1" applyFont="1" applyFill="1" applyBorder="1" applyAlignment="1" applyProtection="1">
      <alignment/>
      <protection hidden="1"/>
    </xf>
    <xf numFmtId="171" fontId="4" fillId="33" borderId="16" xfId="0" applyNumberFormat="1" applyFont="1" applyFill="1" applyBorder="1" applyAlignment="1" applyProtection="1">
      <alignment/>
      <protection hidden="1"/>
    </xf>
    <xf numFmtId="0" fontId="6" fillId="34" borderId="39" xfId="0" applyFont="1" applyFill="1" applyBorder="1" applyAlignment="1" applyProtection="1">
      <alignment/>
      <protection hidden="1"/>
    </xf>
    <xf numFmtId="0" fontId="0" fillId="33" borderId="40" xfId="0" applyFont="1" applyFill="1" applyBorder="1" applyAlignment="1" applyProtection="1">
      <alignment horizontal="center"/>
      <protection hidden="1"/>
    </xf>
    <xf numFmtId="0" fontId="0" fillId="33" borderId="41"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6" fillId="34" borderId="23" xfId="0" applyFont="1" applyFill="1" applyBorder="1" applyAlignment="1" applyProtection="1">
      <alignment/>
      <protection hidden="1"/>
    </xf>
    <xf numFmtId="0" fontId="0" fillId="33" borderId="42" xfId="0"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14" fontId="0" fillId="36" borderId="0" xfId="0" applyNumberFormat="1" applyFont="1" applyFill="1" applyBorder="1" applyAlignment="1" applyProtection="1">
      <alignment horizontal="center"/>
      <protection hidden="1"/>
    </xf>
    <xf numFmtId="14" fontId="0" fillId="33" borderId="42" xfId="0" applyNumberFormat="1" applyFont="1" applyFill="1" applyBorder="1" applyAlignment="1" applyProtection="1">
      <alignment horizontal="center"/>
      <protection hidden="1"/>
    </xf>
    <xf numFmtId="14" fontId="0" fillId="33" borderId="24" xfId="0" applyNumberFormat="1" applyFont="1" applyFill="1" applyBorder="1" applyAlignment="1" applyProtection="1">
      <alignment horizontal="center"/>
      <protection hidden="1"/>
    </xf>
    <xf numFmtId="10" fontId="0" fillId="33" borderId="42" xfId="0" applyNumberFormat="1" applyFont="1" applyFill="1" applyBorder="1" applyAlignment="1" applyProtection="1">
      <alignment horizontal="center"/>
      <protection hidden="1"/>
    </xf>
    <xf numFmtId="10" fontId="0" fillId="33" borderId="24" xfId="0" applyNumberFormat="1" applyFont="1" applyFill="1" applyBorder="1" applyAlignment="1" applyProtection="1">
      <alignment horizontal="center"/>
      <protection hidden="1"/>
    </xf>
    <xf numFmtId="0" fontId="6" fillId="34" borderId="25" xfId="0" applyFont="1" applyFill="1" applyBorder="1" applyAlignment="1" applyProtection="1">
      <alignment/>
      <protection hidden="1"/>
    </xf>
    <xf numFmtId="0" fontId="0" fillId="33" borderId="43" xfId="0" applyFont="1" applyFill="1" applyBorder="1" applyAlignment="1" applyProtection="1">
      <alignment horizontal="center"/>
      <protection hidden="1"/>
    </xf>
    <xf numFmtId="0" fontId="0" fillId="33" borderId="26" xfId="0" applyFont="1" applyFill="1" applyBorder="1" applyAlignment="1" applyProtection="1">
      <alignment horizontal="center"/>
      <protection hidden="1"/>
    </xf>
    <xf numFmtId="184" fontId="0" fillId="33" borderId="0" xfId="0" applyNumberFormat="1" applyFont="1" applyFill="1" applyBorder="1" applyAlignment="1" applyProtection="1">
      <alignment horizontal="center"/>
      <protection hidden="1"/>
    </xf>
    <xf numFmtId="193" fontId="0" fillId="33" borderId="0" xfId="0" applyNumberFormat="1" applyFont="1" applyFill="1" applyBorder="1" applyAlignment="1" applyProtection="1">
      <alignment horizontal="center"/>
      <protection hidden="1"/>
    </xf>
    <xf numFmtId="183" fontId="0" fillId="33" borderId="24" xfId="54" applyNumberFormat="1" applyFont="1" applyFill="1" applyBorder="1" applyAlignment="1" applyProtection="1">
      <alignment horizontal="right"/>
      <protection hidden="1"/>
    </xf>
    <xf numFmtId="190" fontId="0" fillId="33" borderId="0" xfId="48" applyNumberFormat="1" applyFont="1" applyFill="1" applyBorder="1" applyAlignment="1" applyProtection="1">
      <alignment/>
      <protection hidden="1"/>
    </xf>
    <xf numFmtId="171" fontId="0" fillId="33" borderId="0" xfId="0" applyNumberFormat="1" applyFont="1" applyFill="1" applyBorder="1" applyAlignment="1" applyProtection="1">
      <alignment/>
      <protection hidden="1"/>
    </xf>
    <xf numFmtId="196" fontId="0" fillId="33" borderId="0" xfId="0" applyNumberFormat="1" applyFont="1" applyFill="1" applyBorder="1" applyAlignment="1" applyProtection="1">
      <alignment horizontal="center"/>
      <protection hidden="1"/>
    </xf>
    <xf numFmtId="193" fontId="0" fillId="33" borderId="26" xfId="0" applyNumberFormat="1" applyFont="1" applyFill="1" applyBorder="1" applyAlignment="1" applyProtection="1">
      <alignment horizontal="center"/>
      <protection hidden="1"/>
    </xf>
    <xf numFmtId="194" fontId="0" fillId="33" borderId="0" xfId="0" applyNumberFormat="1" applyFont="1" applyFill="1" applyBorder="1" applyAlignment="1" applyProtection="1">
      <alignment horizontal="center"/>
      <protection hidden="1"/>
    </xf>
    <xf numFmtId="198" fontId="0" fillId="33" borderId="0" xfId="0" applyNumberFormat="1" applyFont="1" applyFill="1" applyBorder="1" applyAlignment="1" applyProtection="1">
      <alignment horizontal="center"/>
      <protection hidden="1"/>
    </xf>
    <xf numFmtId="185" fontId="0" fillId="0" borderId="44" xfId="54" applyNumberFormat="1" applyFont="1" applyFill="1" applyBorder="1" applyAlignment="1" applyProtection="1">
      <alignment horizontal="center"/>
      <protection hidden="1"/>
    </xf>
    <xf numFmtId="191" fontId="0" fillId="0" borderId="0" xfId="0" applyNumberFormat="1" applyFont="1" applyFill="1" applyBorder="1" applyAlignment="1" applyProtection="1">
      <alignment horizontal="center"/>
      <protection hidden="1"/>
    </xf>
    <xf numFmtId="183" fontId="16" fillId="36" borderId="27" xfId="0" applyNumberFormat="1" applyFont="1" applyFill="1" applyBorder="1" applyAlignment="1" applyProtection="1">
      <alignment horizontal="right" indent="1"/>
      <protection hidden="1" locked="0"/>
    </xf>
    <xf numFmtId="188" fontId="15" fillId="36" borderId="27" xfId="48" applyNumberFormat="1" applyFont="1" applyFill="1" applyBorder="1" applyAlignment="1" applyProtection="1">
      <alignment horizontal="right" indent="1"/>
      <protection hidden="1" locked="0"/>
    </xf>
    <xf numFmtId="197" fontId="10" fillId="36" borderId="27" xfId="48" applyNumberFormat="1" applyFont="1" applyFill="1" applyBorder="1" applyAlignment="1" applyProtection="1">
      <alignment horizontal="right" indent="1"/>
      <protection hidden="1" locked="0"/>
    </xf>
    <xf numFmtId="0" fontId="15" fillId="33" borderId="33" xfId="0" applyFont="1" applyFill="1" applyBorder="1" applyAlignment="1" applyProtection="1">
      <alignment/>
      <protection hidden="1"/>
    </xf>
    <xf numFmtId="0" fontId="20" fillId="36" borderId="0" xfId="0" applyFont="1" applyFill="1" applyBorder="1" applyAlignment="1" applyProtection="1">
      <alignment horizontal="center"/>
      <protection hidden="1"/>
    </xf>
    <xf numFmtId="14" fontId="14" fillId="36" borderId="29" xfId="0" applyNumberFormat="1" applyFont="1" applyFill="1" applyBorder="1" applyAlignment="1" applyProtection="1">
      <alignment horizontal="center"/>
      <protection hidden="1" locked="0"/>
    </xf>
    <xf numFmtId="14" fontId="15" fillId="36" borderId="45" xfId="0" applyNumberFormat="1" applyFont="1" applyFill="1" applyBorder="1" applyAlignment="1" applyProtection="1">
      <alignment horizontal="center"/>
      <protection hidden="1" locked="0"/>
    </xf>
    <xf numFmtId="0" fontId="12" fillId="36" borderId="33" xfId="0" applyFont="1" applyFill="1" applyBorder="1" applyAlignment="1" applyProtection="1">
      <alignment/>
      <protection hidden="1"/>
    </xf>
    <xf numFmtId="0" fontId="12" fillId="33" borderId="30" xfId="0" applyFont="1" applyFill="1" applyBorder="1" applyAlignment="1" applyProtection="1">
      <alignment/>
      <protection hidden="1"/>
    </xf>
    <xf numFmtId="182" fontId="18" fillId="0" borderId="46" xfId="54" applyNumberFormat="1" applyFont="1" applyFill="1" applyBorder="1" applyAlignment="1" applyProtection="1">
      <alignment horizontal="center"/>
      <protection hidden="1"/>
    </xf>
    <xf numFmtId="0" fontId="18" fillId="0" borderId="46" xfId="0" applyFont="1" applyFill="1" applyBorder="1" applyAlignment="1" applyProtection="1">
      <alignment horizontal="center"/>
      <protection hidden="1"/>
    </xf>
    <xf numFmtId="0" fontId="18" fillId="0" borderId="47" xfId="0" applyFont="1" applyFill="1" applyBorder="1" applyAlignment="1" applyProtection="1">
      <alignment horizontal="center"/>
      <protection hidden="1"/>
    </xf>
    <xf numFmtId="0" fontId="0" fillId="0" borderId="0" xfId="0" applyFont="1" applyFill="1" applyAlignment="1" applyProtection="1">
      <alignment/>
      <protection hidden="1"/>
    </xf>
    <xf numFmtId="14" fontId="5" fillId="0" borderId="39" xfId="54" applyNumberFormat="1" applyFont="1" applyFill="1" applyBorder="1" applyAlignment="1" applyProtection="1">
      <alignment horizontal="center"/>
      <protection hidden="1"/>
    </xf>
    <xf numFmtId="186" fontId="5" fillId="0" borderId="48" xfId="54" applyNumberFormat="1" applyFont="1" applyFill="1" applyBorder="1" applyAlignment="1" applyProtection="1">
      <alignment horizontal="center"/>
      <protection hidden="1"/>
    </xf>
    <xf numFmtId="14" fontId="5" fillId="0" borderId="23" xfId="54" applyNumberFormat="1" applyFont="1" applyFill="1" applyBorder="1" applyAlignment="1" applyProtection="1">
      <alignment horizontal="center"/>
      <protection hidden="1"/>
    </xf>
    <xf numFmtId="186" fontId="5" fillId="0" borderId="44" xfId="54" applyNumberFormat="1" applyFont="1" applyFill="1" applyBorder="1" applyAlignment="1" applyProtection="1">
      <alignment horizontal="center"/>
      <protection hidden="1"/>
    </xf>
    <xf numFmtId="14" fontId="5" fillId="0" borderId="25" xfId="54" applyNumberFormat="1" applyFont="1" applyFill="1" applyBorder="1" applyAlignment="1" applyProtection="1">
      <alignment horizontal="center"/>
      <protection hidden="1"/>
    </xf>
    <xf numFmtId="186" fontId="5" fillId="0" borderId="49" xfId="54" applyNumberFormat="1" applyFont="1" applyFill="1" applyBorder="1" applyAlignment="1" applyProtection="1">
      <alignment horizontal="center"/>
      <protection hidden="1"/>
    </xf>
    <xf numFmtId="9" fontId="12" fillId="36" borderId="34" xfId="54" applyFont="1" applyFill="1" applyBorder="1" applyAlignment="1" applyProtection="1">
      <alignment horizontal="right" indent="1"/>
      <protection hidden="1" locked="0"/>
    </xf>
    <xf numFmtId="197" fontId="9" fillId="0" borderId="36" xfId="48" applyNumberFormat="1" applyFont="1" applyBorder="1" applyAlignment="1" applyProtection="1">
      <alignment horizontal="right" indent="1"/>
      <protection hidden="1"/>
    </xf>
    <xf numFmtId="0" fontId="9" fillId="0" borderId="27" xfId="0" applyNumberFormat="1" applyFont="1" applyBorder="1" applyAlignment="1" applyProtection="1">
      <alignment horizontal="right" indent="1"/>
      <protection hidden="1"/>
    </xf>
    <xf numFmtId="0" fontId="1" fillId="33" borderId="0" xfId="45" applyFill="1" applyAlignment="1" applyProtection="1">
      <alignment horizontal="center" vertical="center"/>
      <protection hidden="1"/>
    </xf>
    <xf numFmtId="14" fontId="0" fillId="0" borderId="10" xfId="0" applyNumberFormat="1" applyFill="1" applyBorder="1" applyAlignment="1" applyProtection="1">
      <alignment horizontal="center"/>
      <protection hidden="1"/>
    </xf>
    <xf numFmtId="169" fontId="0" fillId="0" borderId="11" xfId="48" applyNumberFormat="1" applyFont="1" applyFill="1" applyBorder="1" applyAlignment="1" applyProtection="1">
      <alignment horizontal="center"/>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6" fontId="0" fillId="0" borderId="21" xfId="48" applyNumberFormat="1" applyFont="1" applyFill="1" applyBorder="1" applyAlignment="1" applyProtection="1">
      <alignment horizontal="right"/>
      <protection hidden="1"/>
    </xf>
    <xf numFmtId="14" fontId="0" fillId="0" borderId="11"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171" fontId="0" fillId="0" borderId="10" xfId="0" applyNumberFormat="1" applyFont="1" applyFill="1" applyBorder="1" applyAlignment="1" applyProtection="1">
      <alignment/>
      <protection hidden="1"/>
    </xf>
    <xf numFmtId="171" fontId="0" fillId="0" borderId="11" xfId="0" applyNumberFormat="1" applyFont="1" applyFill="1" applyBorder="1" applyAlignment="1" applyProtection="1">
      <alignment/>
      <protection hidden="1"/>
    </xf>
    <xf numFmtId="171" fontId="0" fillId="0" borderId="14" xfId="0" applyNumberFormat="1" applyFont="1" applyFill="1" applyBorder="1" applyAlignment="1" applyProtection="1">
      <alignment/>
      <protection hidden="1"/>
    </xf>
    <xf numFmtId="181" fontId="0" fillId="0" borderId="0" xfId="48" applyFont="1" applyFill="1" applyAlignment="1" applyProtection="1">
      <alignment/>
      <protection hidden="1"/>
    </xf>
    <xf numFmtId="0" fontId="0" fillId="0" borderId="0" xfId="0" applyFont="1" applyFill="1" applyAlignment="1" applyProtection="1">
      <alignment/>
      <protection hidden="1"/>
    </xf>
    <xf numFmtId="171" fontId="0" fillId="33" borderId="10" xfId="48" applyNumberFormat="1" applyFont="1" applyFill="1" applyBorder="1" applyAlignment="1" applyProtection="1">
      <alignment/>
      <protection hidden="1" locked="0"/>
    </xf>
    <xf numFmtId="14" fontId="0" fillId="0" borderId="10" xfId="0" applyNumberFormat="1" applyFont="1" applyFill="1" applyBorder="1" applyAlignment="1" applyProtection="1">
      <alignment horizontal="center"/>
      <protection hidden="1"/>
    </xf>
    <xf numFmtId="169" fontId="0" fillId="0" borderId="11" xfId="48" applyNumberFormat="1" applyFont="1" applyFill="1" applyBorder="1" applyAlignment="1" applyProtection="1">
      <alignment horizontal="center"/>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6" fontId="0" fillId="0" borderId="21" xfId="48" applyNumberFormat="1" applyFont="1" applyFill="1" applyBorder="1" applyAlignment="1" applyProtection="1">
      <alignment horizontal="right"/>
      <protection hidden="1"/>
    </xf>
    <xf numFmtId="14" fontId="0" fillId="0" borderId="11"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171" fontId="0" fillId="0" borderId="10" xfId="0" applyNumberFormat="1" applyFont="1" applyFill="1" applyBorder="1" applyAlignment="1" applyProtection="1">
      <alignment/>
      <protection hidden="1"/>
    </xf>
    <xf numFmtId="171" fontId="0" fillId="0" borderId="11" xfId="0" applyNumberFormat="1" applyFont="1" applyFill="1" applyBorder="1" applyAlignment="1" applyProtection="1">
      <alignment/>
      <protection hidden="1"/>
    </xf>
    <xf numFmtId="171" fontId="0" fillId="0" borderId="14" xfId="0" applyNumberFormat="1" applyFont="1" applyFill="1" applyBorder="1" applyAlignment="1" applyProtection="1">
      <alignment/>
      <protection hidden="1"/>
    </xf>
    <xf numFmtId="0" fontId="0" fillId="0" borderId="0" xfId="0" applyFont="1" applyFill="1" applyAlignment="1" applyProtection="1">
      <alignment/>
      <protection hidden="1"/>
    </xf>
    <xf numFmtId="197" fontId="9" fillId="0" borderId="0" xfId="0" applyNumberFormat="1" applyFont="1" applyBorder="1" applyAlignment="1" applyProtection="1">
      <alignmen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82" fontId="0" fillId="0" borderId="46" xfId="54" applyNumberFormat="1" applyFont="1" applyFill="1" applyBorder="1" applyAlignment="1" applyProtection="1">
      <alignment horizontal="center"/>
      <protection hidden="1"/>
    </xf>
    <xf numFmtId="182" fontId="0" fillId="0" borderId="49" xfId="54" applyNumberFormat="1" applyFont="1" applyFill="1" applyBorder="1" applyAlignment="1" applyProtection="1">
      <alignment horizontal="center"/>
      <protection hidden="1"/>
    </xf>
    <xf numFmtId="185" fontId="0" fillId="0" borderId="48" xfId="54" applyNumberFormat="1" applyFont="1" applyFill="1" applyBorder="1" applyAlignment="1" applyProtection="1">
      <alignment horizontal="center"/>
      <protection hidden="1"/>
    </xf>
    <xf numFmtId="14" fontId="0" fillId="0" borderId="23" xfId="54" applyNumberFormat="1" applyFont="1" applyFill="1" applyBorder="1" applyAlignment="1" applyProtection="1">
      <alignment horizontal="center"/>
      <protection hidden="1"/>
    </xf>
    <xf numFmtId="14" fontId="0" fillId="0" borderId="25" xfId="54" applyNumberFormat="1" applyFont="1" applyFill="1" applyBorder="1" applyAlignment="1" applyProtection="1">
      <alignment horizontal="center"/>
      <protection hidden="1"/>
    </xf>
    <xf numFmtId="182" fontId="0" fillId="0" borderId="48" xfId="54" applyNumberFormat="1" applyFont="1" applyFill="1" applyBorder="1" applyAlignment="1" applyProtection="1">
      <alignment horizontal="center"/>
      <protection hidden="1"/>
    </xf>
    <xf numFmtId="182" fontId="0" fillId="0" borderId="44" xfId="54" applyNumberFormat="1" applyFont="1" applyFill="1" applyBorder="1" applyAlignment="1" applyProtection="1">
      <alignment horizontal="center"/>
      <protection hidden="1"/>
    </xf>
    <xf numFmtId="185" fontId="0" fillId="0" borderId="41" xfId="54" applyNumberFormat="1" applyFont="1" applyFill="1" applyBorder="1" applyAlignment="1" applyProtection="1">
      <alignment horizontal="center"/>
      <protection hidden="1"/>
    </xf>
    <xf numFmtId="185" fontId="0" fillId="0" borderId="24" xfId="54" applyNumberFormat="1" applyFont="1" applyFill="1" applyBorder="1" applyAlignment="1" applyProtection="1">
      <alignment horizontal="center"/>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4" fontId="0" fillId="37" borderId="10" xfId="0" applyNumberFormat="1" applyFill="1" applyBorder="1" applyAlignment="1" applyProtection="1">
      <alignment horizontal="center"/>
      <protection hidden="1"/>
    </xf>
    <xf numFmtId="169" fontId="0" fillId="37" borderId="11" xfId="48" applyNumberFormat="1" applyFont="1" applyFill="1" applyBorder="1" applyAlignment="1" applyProtection="1">
      <alignment horizontal="center"/>
      <protection hidden="1"/>
    </xf>
    <xf numFmtId="196" fontId="0" fillId="37" borderId="21" xfId="48" applyNumberFormat="1" applyFont="1" applyFill="1" applyBorder="1" applyAlignment="1" applyProtection="1">
      <alignment horizontal="right"/>
      <protection hidden="1"/>
    </xf>
    <xf numFmtId="14" fontId="0" fillId="37" borderId="11" xfId="0" applyNumberFormat="1" applyFont="1" applyFill="1" applyBorder="1" applyAlignment="1" applyProtection="1">
      <alignment horizontal="center"/>
      <protection hidden="1"/>
    </xf>
    <xf numFmtId="0" fontId="0" fillId="37" borderId="0" xfId="0" applyFont="1" applyFill="1" applyBorder="1" applyAlignment="1" applyProtection="1">
      <alignment horizontal="center"/>
      <protection hidden="1"/>
    </xf>
    <xf numFmtId="0" fontId="0" fillId="37" borderId="14" xfId="0" applyFont="1" applyFill="1" applyBorder="1" applyAlignment="1" applyProtection="1">
      <alignment horizontal="center"/>
      <protection hidden="1"/>
    </xf>
    <xf numFmtId="171" fontId="0" fillId="37" borderId="10" xfId="0" applyNumberFormat="1" applyFont="1" applyFill="1" applyBorder="1" applyAlignment="1" applyProtection="1">
      <alignment/>
      <protection hidden="1"/>
    </xf>
    <xf numFmtId="171" fontId="0" fillId="37" borderId="11" xfId="0" applyNumberFormat="1" applyFont="1" applyFill="1" applyBorder="1" applyAlignment="1" applyProtection="1">
      <alignment/>
      <protection hidden="1"/>
    </xf>
    <xf numFmtId="171" fontId="0" fillId="37" borderId="14" xfId="0" applyNumberFormat="1" applyFont="1" applyFill="1" applyBorder="1" applyAlignment="1" applyProtection="1">
      <alignment/>
      <protection hidden="1"/>
    </xf>
    <xf numFmtId="0" fontId="0" fillId="37" borderId="0" xfId="0" applyFont="1" applyFill="1" applyAlignment="1" applyProtection="1">
      <alignment/>
      <protection hidden="1"/>
    </xf>
    <xf numFmtId="191" fontId="0" fillId="0" borderId="44" xfId="54" applyNumberFormat="1" applyFont="1" applyFill="1" applyBorder="1" applyAlignment="1">
      <alignment horizontal="center"/>
    </xf>
    <xf numFmtId="191" fontId="0" fillId="0" borderId="24" xfId="54" applyNumberFormat="1" applyFont="1" applyFill="1" applyBorder="1" applyAlignment="1">
      <alignment horizontal="center"/>
    </xf>
    <xf numFmtId="191" fontId="0" fillId="0" borderId="44" xfId="54" applyNumberFormat="1" applyFont="1" applyFill="1" applyBorder="1" applyAlignment="1" applyProtection="1">
      <alignment horizontal="center"/>
      <protection/>
    </xf>
    <xf numFmtId="194" fontId="0" fillId="0" borderId="0" xfId="48" applyNumberFormat="1" applyFont="1" applyFill="1" applyAlignment="1">
      <alignment horizontal="center"/>
    </xf>
    <xf numFmtId="194" fontId="0" fillId="0" borderId="0" xfId="48" applyNumberFormat="1" applyFont="1" applyFill="1" applyAlignment="1">
      <alignment/>
    </xf>
    <xf numFmtId="0" fontId="0" fillId="0" borderId="0" xfId="0" applyFont="1" applyFill="1" applyAlignment="1">
      <alignment/>
    </xf>
    <xf numFmtId="191" fontId="0" fillId="0" borderId="0" xfId="0" applyNumberFormat="1" applyFont="1" applyFill="1" applyAlignment="1">
      <alignment/>
    </xf>
    <xf numFmtId="210" fontId="0" fillId="0" borderId="0" xfId="0" applyNumberFormat="1" applyFont="1" applyFill="1" applyAlignment="1">
      <alignment/>
    </xf>
    <xf numFmtId="211" fontId="0" fillId="0" borderId="0" xfId="0" applyNumberFormat="1" applyFont="1" applyFill="1" applyAlignment="1">
      <alignment/>
    </xf>
    <xf numFmtId="191" fontId="0" fillId="0" borderId="49" xfId="54" applyNumberFormat="1" applyFont="1" applyFill="1" applyBorder="1" applyAlignment="1">
      <alignment horizontal="center"/>
    </xf>
    <xf numFmtId="191" fontId="0" fillId="0" borderId="26" xfId="54" applyNumberFormat="1" applyFont="1" applyFill="1" applyBorder="1" applyAlignment="1">
      <alignment horizontal="center"/>
    </xf>
    <xf numFmtId="191" fontId="0" fillId="0" borderId="49" xfId="54" applyNumberFormat="1" applyFont="1" applyFill="1" applyBorder="1" applyAlignment="1" applyProtection="1">
      <alignment horizontal="center"/>
      <protection/>
    </xf>
    <xf numFmtId="14" fontId="0" fillId="37" borderId="23" xfId="54" applyNumberFormat="1" applyFont="1" applyFill="1" applyBorder="1" applyAlignment="1" applyProtection="1">
      <alignment horizontal="center"/>
      <protection hidden="1"/>
    </xf>
    <xf numFmtId="191" fontId="0" fillId="37" borderId="44" xfId="54" applyNumberFormat="1" applyFont="1" applyFill="1" applyBorder="1" applyAlignment="1">
      <alignment horizontal="center"/>
    </xf>
    <xf numFmtId="191" fontId="0" fillId="37" borderId="24" xfId="54" applyNumberFormat="1" applyFont="1" applyFill="1" applyBorder="1" applyAlignment="1">
      <alignment horizontal="center"/>
    </xf>
    <xf numFmtId="191" fontId="0" fillId="37" borderId="44" xfId="54" applyNumberFormat="1" applyFont="1" applyFill="1" applyBorder="1" applyAlignment="1" applyProtection="1">
      <alignment horizontal="center"/>
      <protection/>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191" fontId="0" fillId="0" borderId="11" xfId="54" applyNumberFormat="1" applyFont="1" applyFill="1" applyBorder="1" applyAlignment="1" applyProtection="1">
      <alignment/>
      <protection hidden="1"/>
    </xf>
    <xf numFmtId="196" fontId="0" fillId="0" borderId="11" xfId="48" applyNumberFormat="1" applyFont="1" applyFill="1" applyBorder="1" applyAlignment="1" applyProtection="1">
      <alignment/>
      <protection hidden="1"/>
    </xf>
    <xf numFmtId="196" fontId="0" fillId="0" borderId="11" xfId="48" applyNumberFormat="1" applyFont="1" applyFill="1" applyBorder="1" applyAlignment="1" applyProtection="1">
      <alignment horizontal="right"/>
      <protection hidden="1"/>
    </xf>
    <xf numFmtId="0" fontId="0" fillId="37" borderId="0" xfId="0" applyFont="1" applyFill="1" applyAlignment="1">
      <alignment/>
    </xf>
    <xf numFmtId="0" fontId="57" fillId="38" borderId="46" xfId="0" applyFont="1" applyFill="1" applyBorder="1" applyAlignment="1" applyProtection="1">
      <alignment/>
      <protection hidden="1"/>
    </xf>
    <xf numFmtId="213" fontId="0" fillId="0" borderId="46" xfId="0" applyNumberFormat="1" applyBorder="1" applyAlignment="1" applyProtection="1">
      <alignment/>
      <protection hidden="1"/>
    </xf>
    <xf numFmtId="0" fontId="22" fillId="0" borderId="0" xfId="45" applyFont="1" applyBorder="1" applyAlignment="1" applyProtection="1">
      <alignment horizontal="center" vertical="center"/>
      <protection hidden="1"/>
    </xf>
    <xf numFmtId="191" fontId="0" fillId="37" borderId="11" xfId="54" applyNumberFormat="1" applyFont="1" applyFill="1" applyBorder="1" applyAlignment="1" applyProtection="1">
      <alignment/>
      <protection hidden="1"/>
    </xf>
    <xf numFmtId="196" fontId="0" fillId="37" borderId="11" xfId="48" applyNumberFormat="1" applyFont="1" applyFill="1" applyBorder="1" applyAlignment="1" applyProtection="1">
      <alignment/>
      <protection hidden="1"/>
    </xf>
    <xf numFmtId="196" fontId="0" fillId="37" borderId="11" xfId="48" applyNumberFormat="1" applyFont="1" applyFill="1" applyBorder="1" applyAlignment="1" applyProtection="1">
      <alignment horizontal="right"/>
      <protection hidden="1"/>
    </xf>
    <xf numFmtId="0" fontId="13" fillId="34" borderId="12" xfId="0" applyFont="1" applyFill="1" applyBorder="1" applyAlignment="1" applyProtection="1">
      <alignment horizontal="center" vertical="center"/>
      <protection hidden="1"/>
    </xf>
    <xf numFmtId="0" fontId="13" fillId="34" borderId="13" xfId="0" applyFont="1" applyFill="1" applyBorder="1" applyAlignment="1" applyProtection="1">
      <alignment horizontal="center" vertical="center"/>
      <protection hidden="1"/>
    </xf>
    <xf numFmtId="0" fontId="13" fillId="34" borderId="47" xfId="0" applyFont="1" applyFill="1" applyBorder="1" applyAlignment="1" applyProtection="1">
      <alignment horizontal="center" vertical="center"/>
      <protection hidden="1"/>
    </xf>
    <xf numFmtId="0" fontId="13" fillId="34" borderId="28" xfId="0" applyFont="1" applyFill="1" applyBorder="1" applyAlignment="1" applyProtection="1">
      <alignment horizontal="center"/>
      <protection hidden="1"/>
    </xf>
    <xf numFmtId="0" fontId="13" fillId="34" borderId="29" xfId="0" applyFont="1" applyFill="1" applyBorder="1" applyAlignment="1" applyProtection="1">
      <alignment horizontal="center"/>
      <protection hidden="1"/>
    </xf>
    <xf numFmtId="0" fontId="13" fillId="34" borderId="50" xfId="0" applyFont="1" applyFill="1" applyBorder="1" applyAlignment="1" applyProtection="1">
      <alignment horizontal="center"/>
      <protection hidden="1"/>
    </xf>
    <xf numFmtId="0" fontId="13" fillId="34" borderId="34" xfId="0" applyFont="1" applyFill="1" applyBorder="1" applyAlignment="1" applyProtection="1">
      <alignment horizontal="center"/>
      <protection hidden="1"/>
    </xf>
    <xf numFmtId="0" fontId="6" fillId="34" borderId="12" xfId="0" applyFont="1" applyFill="1" applyBorder="1" applyAlignment="1" applyProtection="1">
      <alignment horizontal="center"/>
      <protection hidden="1"/>
    </xf>
    <xf numFmtId="0" fontId="6" fillId="34" borderId="47" xfId="0" applyFont="1" applyFill="1" applyBorder="1" applyAlignment="1" applyProtection="1">
      <alignment horizontal="center"/>
      <protection hidden="1"/>
    </xf>
    <xf numFmtId="0" fontId="0" fillId="33" borderId="0" xfId="0" applyNumberFormat="1" applyFont="1" applyFill="1" applyAlignment="1" applyProtection="1">
      <alignment horizontal="justify" vertical="justify" wrapText="1"/>
      <protection hidden="1"/>
    </xf>
    <xf numFmtId="0" fontId="0" fillId="0" borderId="0" xfId="0" applyAlignment="1" applyProtection="1">
      <alignment horizontal="justify" vertical="justify" wrapText="1"/>
      <protection hidden="1"/>
    </xf>
    <xf numFmtId="0" fontId="0" fillId="0" borderId="12" xfId="0" applyFont="1" applyFill="1" applyBorder="1" applyAlignment="1" applyProtection="1">
      <alignment horizontal="center"/>
      <protection hidden="1"/>
    </xf>
    <xf numFmtId="0" fontId="0" fillId="0" borderId="47" xfId="0" applyFont="1" applyFill="1" applyBorder="1" applyAlignment="1" applyProtection="1">
      <alignment horizontal="center"/>
      <protection hidden="1"/>
    </xf>
    <xf numFmtId="182" fontId="4" fillId="0" borderId="48" xfId="54"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9525</xdr:rowOff>
    </xdr:from>
    <xdr:to>
      <xdr:col>1</xdr:col>
      <xdr:colOff>1219200</xdr:colOff>
      <xdr:row>7</xdr:row>
      <xdr:rowOff>85725</xdr:rowOff>
    </xdr:to>
    <xdr:pic>
      <xdr:nvPicPr>
        <xdr:cNvPr id="1" name="Picture 8"/>
        <xdr:cNvPicPr preferRelativeResize="1">
          <a:picLocks noChangeAspect="1"/>
        </xdr:cNvPicPr>
      </xdr:nvPicPr>
      <xdr:blipFill>
        <a:blip r:embed="rId1"/>
        <a:stretch>
          <a:fillRect/>
        </a:stretch>
      </xdr:blipFill>
      <xdr:spPr>
        <a:xfrm>
          <a:off x="314325" y="200025"/>
          <a:ext cx="11525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K39"/>
  <sheetViews>
    <sheetView showGridLines="0" tabSelected="1" zoomScale="95" zoomScaleNormal="95" zoomScalePageLayoutView="0" workbookViewId="0" topLeftCell="A1">
      <selection activeCell="E7" sqref="E7"/>
    </sheetView>
  </sheetViews>
  <sheetFormatPr defaultColWidth="0" defaultRowHeight="12.75" zeroHeight="1"/>
  <cols>
    <col min="1" max="1" width="3.7109375" style="46" customWidth="1"/>
    <col min="2" max="2" width="32.7109375" style="46" customWidth="1"/>
    <col min="3" max="3" width="23.57421875" style="46" customWidth="1"/>
    <col min="4" max="4" width="3.7109375" style="46" customWidth="1"/>
    <col min="5" max="5" width="32.7109375" style="46" customWidth="1"/>
    <col min="6" max="6" width="23.57421875" style="46" customWidth="1"/>
    <col min="7" max="7" width="3.57421875" style="46" customWidth="1"/>
    <col min="8" max="8" width="24.140625" style="54" hidden="1" customWidth="1"/>
    <col min="9" max="9" width="2.140625" style="54" hidden="1" customWidth="1"/>
    <col min="10" max="10" width="12.140625" style="54" hidden="1" customWidth="1"/>
    <col min="11" max="11" width="13.00390625" style="56" hidden="1" customWidth="1"/>
    <col min="12" max="16384" width="11.421875" style="49" hidden="1" customWidth="1"/>
  </cols>
  <sheetData>
    <row r="1" spans="1:11" ht="15" thickBot="1">
      <c r="A1" s="47"/>
      <c r="B1" s="48"/>
      <c r="C1" s="48"/>
      <c r="D1" s="48"/>
      <c r="E1" s="48"/>
      <c r="F1" s="48"/>
      <c r="G1" s="48"/>
      <c r="H1" s="49" t="str">
        <f>+Características!B1</f>
        <v>TIPS Pesos E-11 A 2019</v>
      </c>
      <c r="I1" s="49"/>
      <c r="J1" s="50" t="s">
        <v>43</v>
      </c>
      <c r="K1" s="51"/>
    </row>
    <row r="2" spans="1:10" ht="15" thickBot="1">
      <c r="A2" s="47"/>
      <c r="B2" s="52"/>
      <c r="C2" s="303" t="s">
        <v>52</v>
      </c>
      <c r="D2" s="304"/>
      <c r="E2" s="305"/>
      <c r="F2" s="53"/>
      <c r="G2" s="53"/>
      <c r="H2" s="54" t="str">
        <f>+Características!C1</f>
        <v>TIPS Pesos E-11 A 2024</v>
      </c>
      <c r="J2" s="55">
        <f>+Características!E2</f>
        <v>0</v>
      </c>
    </row>
    <row r="3" spans="1:10" ht="15" customHeight="1">
      <c r="A3" s="47"/>
      <c r="B3" s="57"/>
      <c r="C3" s="133"/>
      <c r="D3" s="133"/>
      <c r="E3" s="57"/>
      <c r="F3" s="57"/>
      <c r="G3" s="57"/>
      <c r="J3" s="89">
        <f>+Características!E3</f>
        <v>0</v>
      </c>
    </row>
    <row r="4" spans="1:10" ht="15" customHeight="1">
      <c r="A4" s="47"/>
      <c r="B4" s="58"/>
      <c r="C4" s="59" t="s">
        <v>53</v>
      </c>
      <c r="D4" s="60"/>
      <c r="E4" s="130" t="s">
        <v>47</v>
      </c>
      <c r="G4" s="61"/>
      <c r="H4" s="49" t="s">
        <v>83</v>
      </c>
      <c r="J4" s="89">
        <f>+Características!E4</f>
        <v>0</v>
      </c>
    </row>
    <row r="5" spans="1:10" ht="15" customHeight="1">
      <c r="A5" s="47"/>
      <c r="B5" s="47"/>
      <c r="C5" s="62"/>
      <c r="F5" s="61"/>
      <c r="G5" s="61"/>
      <c r="H5" s="49" t="s">
        <v>36</v>
      </c>
      <c r="J5" s="89">
        <f>+Características!E5</f>
        <v>0</v>
      </c>
    </row>
    <row r="6" spans="1:10" ht="15" customHeight="1">
      <c r="A6" s="47"/>
      <c r="B6" s="58"/>
      <c r="C6" s="63" t="s">
        <v>3</v>
      </c>
      <c r="D6" s="63"/>
      <c r="E6" s="131">
        <v>41499</v>
      </c>
      <c r="F6" s="176"/>
      <c r="G6" s="61"/>
      <c r="H6" s="49" t="s">
        <v>37</v>
      </c>
      <c r="J6" s="89">
        <f>+Características!E6</f>
        <v>0</v>
      </c>
    </row>
    <row r="7" spans="1:10" ht="15" customHeight="1">
      <c r="A7" s="47"/>
      <c r="B7" s="47"/>
      <c r="C7" s="64"/>
      <c r="D7" s="64"/>
      <c r="E7" s="61"/>
      <c r="F7" s="61"/>
      <c r="G7" s="61"/>
      <c r="H7" s="49" t="s">
        <v>38</v>
      </c>
      <c r="J7" s="89">
        <f>+Características!E7</f>
        <v>0</v>
      </c>
    </row>
    <row r="8" spans="1:10" ht="15" customHeight="1">
      <c r="A8" s="47"/>
      <c r="B8" s="47"/>
      <c r="D8" s="61"/>
      <c r="E8" s="299" t="s">
        <v>64</v>
      </c>
      <c r="F8" s="129" t="s">
        <v>65</v>
      </c>
      <c r="G8" s="61"/>
      <c r="H8" s="65">
        <v>0.2</v>
      </c>
      <c r="J8" s="89">
        <f>+Características!E8</f>
        <v>0</v>
      </c>
    </row>
    <row r="9" spans="1:10" ht="15" customHeight="1">
      <c r="A9" s="47"/>
      <c r="B9" s="306" t="s">
        <v>54</v>
      </c>
      <c r="C9" s="307"/>
      <c r="D9" s="66"/>
      <c r="E9" s="308" t="s">
        <v>66</v>
      </c>
      <c r="F9" s="309"/>
      <c r="G9" s="61"/>
      <c r="H9" s="49" t="s">
        <v>84</v>
      </c>
      <c r="J9" s="89">
        <f>+Características!E9</f>
        <v>0</v>
      </c>
    </row>
    <row r="10" spans="1:10" ht="15" customHeight="1">
      <c r="A10" s="47"/>
      <c r="B10" s="67" t="s">
        <v>17</v>
      </c>
      <c r="C10" s="68" t="str">
        <f>+HLOOKUP(E4,Características!B1:C7,2,FALSE)</f>
        <v>IRST15130524</v>
      </c>
      <c r="D10" s="69"/>
      <c r="E10" s="132" t="s">
        <v>67</v>
      </c>
      <c r="F10" s="144" t="s">
        <v>37</v>
      </c>
      <c r="G10" s="61"/>
      <c r="J10" s="89">
        <f>+Características!E10</f>
        <v>0</v>
      </c>
    </row>
    <row r="11" spans="1:10" ht="15" customHeight="1">
      <c r="A11" s="58"/>
      <c r="B11" s="70" t="s">
        <v>44</v>
      </c>
      <c r="C11" s="146" t="str">
        <f>+HLOOKUP(E4,Características!B1:C7,3,FALSE)</f>
        <v>COF80TI01384</v>
      </c>
      <c r="D11" s="69"/>
      <c r="E11" s="72" t="s">
        <v>68</v>
      </c>
      <c r="F11" s="125">
        <v>0.07503</v>
      </c>
      <c r="G11" s="61"/>
      <c r="J11" s="89">
        <f>+Características!E11</f>
        <v>0</v>
      </c>
    </row>
    <row r="12" spans="1:10" ht="15" customHeight="1">
      <c r="A12" s="58"/>
      <c r="B12" s="70" t="s">
        <v>55</v>
      </c>
      <c r="C12" s="71">
        <f>+HLOOKUP(E4,Características!B1:C7,4,FALSE)</f>
        <v>39946</v>
      </c>
      <c r="D12" s="73"/>
      <c r="E12" s="74" t="s">
        <v>69</v>
      </c>
      <c r="F12" s="126">
        <v>100.912</v>
      </c>
      <c r="G12" s="61"/>
      <c r="J12" s="89">
        <f>+Características!E12</f>
        <v>0</v>
      </c>
    </row>
    <row r="13" spans="1:10" ht="14.25">
      <c r="A13" s="58"/>
      <c r="B13" s="70" t="s">
        <v>56</v>
      </c>
      <c r="C13" s="71">
        <f>+HLOOKUP(E4,Características!B1:C7,5,FALSE)</f>
        <v>45425</v>
      </c>
      <c r="D13" s="73"/>
      <c r="E13" s="75" t="s">
        <v>70</v>
      </c>
      <c r="F13" s="88">
        <v>100.912</v>
      </c>
      <c r="G13" s="61"/>
      <c r="J13" s="89">
        <f>+Características!E13</f>
        <v>0</v>
      </c>
    </row>
    <row r="14" spans="1:10" ht="14.25">
      <c r="A14" s="58"/>
      <c r="B14" s="70" t="s">
        <v>57</v>
      </c>
      <c r="C14" s="76">
        <f>+HLOOKUP(E4,Características!B1:C7,6,FALSE)</f>
        <v>0.105</v>
      </c>
      <c r="D14" s="73"/>
      <c r="E14" s="67" t="s">
        <v>71</v>
      </c>
      <c r="F14" s="77">
        <f>+VLOOKUP(0,Flujos!D2:I182,6,FALSE)</f>
        <v>41560</v>
      </c>
      <c r="G14" s="61"/>
      <c r="J14" s="89">
        <f>+Características!E14</f>
        <v>0</v>
      </c>
    </row>
    <row r="15" spans="1:10" ht="14.25">
      <c r="A15" s="58"/>
      <c r="B15" s="70" t="s">
        <v>58</v>
      </c>
      <c r="C15" s="76">
        <f>+ROUND(((1+C14)^(1/12)-1)*12,6)</f>
        <v>0.100262</v>
      </c>
      <c r="D15" s="73"/>
      <c r="E15" s="66" t="s">
        <v>72</v>
      </c>
      <c r="F15" s="78">
        <f>+Flujos!C183*100</f>
        <v>2.812009</v>
      </c>
      <c r="G15" s="61"/>
      <c r="J15" s="89">
        <f>+Características!E15</f>
        <v>0</v>
      </c>
    </row>
    <row r="16" spans="1:10" ht="14.25">
      <c r="A16" s="58"/>
      <c r="B16" s="79" t="s">
        <v>15</v>
      </c>
      <c r="C16" s="80" t="str">
        <f>+HLOOKUP(E4,Características!B1:C7,7,FALSE)</f>
        <v>COP</v>
      </c>
      <c r="D16" s="73"/>
      <c r="E16" s="74" t="s">
        <v>73</v>
      </c>
      <c r="F16" s="127">
        <v>1000000000</v>
      </c>
      <c r="G16" s="61"/>
      <c r="J16" s="89">
        <f>+Características!E16</f>
        <v>0</v>
      </c>
    </row>
    <row r="17" spans="1:10" ht="14.25">
      <c r="A17" s="47"/>
      <c r="B17" s="61"/>
      <c r="C17" s="61"/>
      <c r="D17" s="73"/>
      <c r="E17" s="75" t="s">
        <v>74</v>
      </c>
      <c r="F17" s="145">
        <f>+Características!B20</f>
        <v>1009120000</v>
      </c>
      <c r="G17" s="61"/>
      <c r="J17" s="89">
        <f>+Características!E17</f>
        <v>0</v>
      </c>
    </row>
    <row r="18" spans="1:10" ht="16.5" customHeight="1">
      <c r="A18" s="58"/>
      <c r="B18" s="128" t="s">
        <v>59</v>
      </c>
      <c r="C18" s="81">
        <f>+SUMPRODUCT(Flujos!B2:B182,Flujos!C2:C182)/Flujos!C183/365</f>
        <v>0.12380599027389656</v>
      </c>
      <c r="D18" s="82"/>
      <c r="E18" s="61"/>
      <c r="F18" s="64"/>
      <c r="G18" s="61"/>
      <c r="J18" s="89">
        <f>+Características!E18</f>
        <v>0</v>
      </c>
    </row>
    <row r="19" spans="1:10" ht="16.5" customHeight="1">
      <c r="A19" s="58"/>
      <c r="B19" s="83" t="s">
        <v>60</v>
      </c>
      <c r="C19" s="84">
        <f>+SUMPRODUCT(Flujos!C2:C182,Flujos!K2:K182)/365</f>
        <v>3.4097555804931514</v>
      </c>
      <c r="D19" s="47"/>
      <c r="E19" s="61"/>
      <c r="F19" s="85"/>
      <c r="G19" s="61"/>
      <c r="J19" s="89">
        <f>+Características!E19</f>
        <v>0</v>
      </c>
    </row>
    <row r="20" spans="1:10" ht="16.5" customHeight="1">
      <c r="A20" s="58"/>
      <c r="B20" s="83" t="s">
        <v>61</v>
      </c>
      <c r="C20" s="84">
        <f>+SUMPRODUCT(Flujos!B2:B182,Flujos!H2:H182)/Flujos!H183/365</f>
        <v>0.12353248099064759</v>
      </c>
      <c r="D20" s="47"/>
      <c r="E20" s="61"/>
      <c r="F20" s="85"/>
      <c r="G20" s="61"/>
      <c r="J20" s="89">
        <f>+Características!E20</f>
        <v>0</v>
      </c>
    </row>
    <row r="21" spans="1:10" ht="16.5" customHeight="1">
      <c r="A21" s="58"/>
      <c r="B21" s="86" t="s">
        <v>62</v>
      </c>
      <c r="C21" s="87">
        <f>+C20/(1+F11)</f>
        <v>0.11491072899421188</v>
      </c>
      <c r="E21" s="61"/>
      <c r="F21" s="85"/>
      <c r="G21" s="61"/>
      <c r="J21" s="89">
        <f>+Características!E21</f>
        <v>0</v>
      </c>
    </row>
    <row r="22" ht="14.25">
      <c r="J22" s="89">
        <f>+Características!E22</f>
        <v>0</v>
      </c>
    </row>
    <row r="23" ht="15" thickBot="1">
      <c r="J23" s="89">
        <f>+Características!E23</f>
        <v>0</v>
      </c>
    </row>
    <row r="24" spans="2:10" ht="15" thickBot="1">
      <c r="B24" s="297" t="s">
        <v>63</v>
      </c>
      <c r="C24" s="298">
        <f>Flujos!L2</f>
        <v>35561763849.262215</v>
      </c>
      <c r="E24"/>
      <c r="F24"/>
      <c r="J24" s="89">
        <f>+Características!E24</f>
        <v>0</v>
      </c>
    </row>
    <row r="25" spans="2:10" ht="14.25">
      <c r="B25"/>
      <c r="C25"/>
      <c r="E25"/>
      <c r="F25"/>
      <c r="J25" s="89"/>
    </row>
    <row r="26" spans="2:6" ht="14.25">
      <c r="B26"/>
      <c r="C26"/>
      <c r="D26"/>
      <c r="E26"/>
      <c r="F26"/>
    </row>
    <row r="27" spans="2:6" ht="14.25" hidden="1">
      <c r="B27"/>
      <c r="C27"/>
      <c r="D27"/>
      <c r="E27"/>
      <c r="F27"/>
    </row>
    <row r="28" spans="2:6" ht="14.25" hidden="1">
      <c r="B28"/>
      <c r="C28"/>
      <c r="D28"/>
      <c r="E28"/>
      <c r="F28"/>
    </row>
    <row r="29" spans="2:6" ht="14.25" hidden="1">
      <c r="B29"/>
      <c r="C29"/>
      <c r="D29"/>
      <c r="E29"/>
      <c r="F29"/>
    </row>
    <row r="30" spans="2:6" ht="14.25" hidden="1">
      <c r="B30"/>
      <c r="C30"/>
      <c r="D30"/>
      <c r="E30"/>
      <c r="F30"/>
    </row>
    <row r="31" spans="2:6" ht="14.25" hidden="1">
      <c r="B31"/>
      <c r="C31"/>
      <c r="D31"/>
      <c r="E31"/>
      <c r="F31"/>
    </row>
    <row r="32" spans="2:6" ht="14.25" hidden="1">
      <c r="B32"/>
      <c r="C32"/>
      <c r="D32"/>
      <c r="E32"/>
      <c r="F32"/>
    </row>
    <row r="33" spans="2:6" ht="14.25" hidden="1">
      <c r="B33"/>
      <c r="C33"/>
      <c r="D33"/>
      <c r="E33"/>
      <c r="F33"/>
    </row>
    <row r="34" spans="2:6" ht="14.25" hidden="1">
      <c r="B34"/>
      <c r="C34"/>
      <c r="D34"/>
      <c r="E34"/>
      <c r="F34"/>
    </row>
    <row r="35" spans="2:6" ht="14.25" hidden="1">
      <c r="B35"/>
      <c r="C35"/>
      <c r="D35"/>
      <c r="E35"/>
      <c r="F35"/>
    </row>
    <row r="36" spans="2:3" ht="14.25" hidden="1">
      <c r="B36"/>
      <c r="C36"/>
    </row>
    <row r="37" spans="2:3" ht="14.25" hidden="1">
      <c r="B37"/>
      <c r="C37"/>
    </row>
    <row r="38" spans="2:3" ht="14.25" hidden="1">
      <c r="B38"/>
      <c r="C38"/>
    </row>
    <row r="39" spans="2:3" ht="14.25" hidden="1">
      <c r="B39"/>
      <c r="C39"/>
    </row>
    <row r="40" ht="14.25" hidden="1"/>
    <row r="41" ht="14.25" hidden="1"/>
  </sheetData>
  <sheetProtection password="C539" sheet="1"/>
  <protectedRanges>
    <protectedRange sqref="E6 E4" name="Rango1"/>
  </protectedRanges>
  <mergeCells count="3">
    <mergeCell ref="C2:E2"/>
    <mergeCell ref="B9:C9"/>
    <mergeCell ref="E9:F9"/>
  </mergeCells>
  <dataValidations count="2">
    <dataValidation type="list" allowBlank="1" showInputMessage="1" showErrorMessage="1" sqref="F10">
      <formula1>$H$4:$H$9</formula1>
    </dataValidation>
    <dataValidation type="list" showInputMessage="1" showErrorMessage="1" sqref="E4">
      <formula1>$H$2</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4"/>
  <ignoredErrors>
    <ignoredError sqref="J1" formulaRange="1"/>
    <ignoredError sqref="F17"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9">
      <selection activeCell="B25" sqref="B25"/>
    </sheetView>
  </sheetViews>
  <sheetFormatPr defaultColWidth="21.140625" defaultRowHeight="12.75"/>
  <cols>
    <col min="1" max="1" width="25.7109375" style="102" customWidth="1"/>
    <col min="2" max="3" width="21.421875" style="25" bestFit="1" customWidth="1"/>
    <col min="4" max="4" width="21.140625" style="102" customWidth="1"/>
    <col min="5" max="6" width="11.00390625" style="102" bestFit="1" customWidth="1"/>
    <col min="7" max="16384" width="21.140625" style="102" customWidth="1"/>
  </cols>
  <sheetData>
    <row r="1" spans="1:6" ht="12.75">
      <c r="A1" s="99" t="s">
        <v>1</v>
      </c>
      <c r="B1" s="100" t="s">
        <v>46</v>
      </c>
      <c r="C1" s="101" t="s">
        <v>47</v>
      </c>
      <c r="E1" s="10"/>
      <c r="F1" s="10"/>
    </row>
    <row r="2" spans="1:6" ht="12.75">
      <c r="A2" s="103" t="s">
        <v>11</v>
      </c>
      <c r="B2" s="104" t="s">
        <v>48</v>
      </c>
      <c r="C2" s="105" t="s">
        <v>49</v>
      </c>
      <c r="E2" s="106"/>
      <c r="F2" s="10"/>
    </row>
    <row r="3" spans="1:6" ht="12.75">
      <c r="A3" s="103" t="s">
        <v>44</v>
      </c>
      <c r="B3" s="104" t="s">
        <v>50</v>
      </c>
      <c r="C3" s="105" t="s">
        <v>51</v>
      </c>
      <c r="E3" s="10"/>
      <c r="F3" s="10"/>
    </row>
    <row r="4" spans="1:6" ht="12.75">
      <c r="A4" s="103" t="s">
        <v>12</v>
      </c>
      <c r="B4" s="107">
        <v>39946</v>
      </c>
      <c r="C4" s="108">
        <f>+B4</f>
        <v>39946</v>
      </c>
      <c r="E4" s="10"/>
      <c r="F4" s="10"/>
    </row>
    <row r="5" spans="1:6" ht="12.75">
      <c r="A5" s="103" t="s">
        <v>13</v>
      </c>
      <c r="B5" s="107">
        <f>+_XLL.FECHA.MES(B4,120)</f>
        <v>43598</v>
      </c>
      <c r="C5" s="108">
        <f>+_XLL.FECHA.MES(C4,180)</f>
        <v>45425</v>
      </c>
      <c r="E5" s="10"/>
      <c r="F5" s="10"/>
    </row>
    <row r="6" spans="1:6" ht="12.75">
      <c r="A6" s="103" t="s">
        <v>14</v>
      </c>
      <c r="B6" s="109">
        <v>0.077</v>
      </c>
      <c r="C6" s="110">
        <v>0.105</v>
      </c>
      <c r="E6" s="10"/>
      <c r="F6" s="10"/>
    </row>
    <row r="7" spans="1:6" ht="13.5" thickBot="1">
      <c r="A7" s="111" t="s">
        <v>15</v>
      </c>
      <c r="B7" s="112" t="s">
        <v>16</v>
      </c>
      <c r="C7" s="113" t="s">
        <v>16</v>
      </c>
      <c r="E7" s="10"/>
      <c r="F7" s="10"/>
    </row>
    <row r="8" spans="5:6" ht="13.5" thickBot="1">
      <c r="E8" s="10"/>
      <c r="F8" s="10"/>
    </row>
    <row r="9" spans="1:6" ht="13.5" thickBot="1">
      <c r="A9" s="310" t="s">
        <v>24</v>
      </c>
      <c r="B9" s="311"/>
      <c r="E9" s="10"/>
      <c r="F9" s="10"/>
    </row>
    <row r="10" spans="1:6" ht="12.75">
      <c r="A10" s="33" t="s">
        <v>3</v>
      </c>
      <c r="B10" s="34">
        <f>+'CALCULADORA TIPS Pesos E-11'!E6</f>
        <v>41499</v>
      </c>
      <c r="E10" s="10"/>
      <c r="F10" s="10"/>
    </row>
    <row r="11" spans="1:6" ht="12.75">
      <c r="A11" s="33" t="s">
        <v>4</v>
      </c>
      <c r="B11" s="34">
        <f>+VLOOKUP(B10,Flujos!$A$2:$A$182,1)</f>
        <v>41499</v>
      </c>
      <c r="E11" s="10"/>
      <c r="F11" s="10"/>
    </row>
    <row r="12" spans="1:6" ht="12.75">
      <c r="A12" s="33" t="s">
        <v>5</v>
      </c>
      <c r="B12" s="35">
        <f>+VLOOKUP(B11,Flujos!$A$2:$D$182,4)</f>
        <v>2.812009</v>
      </c>
      <c r="E12" s="10"/>
      <c r="F12" s="10"/>
    </row>
    <row r="13" spans="1:6" ht="12.75">
      <c r="A13" s="33" t="s">
        <v>6</v>
      </c>
      <c r="B13" s="35">
        <f>+VLOOKUP(_XLL.FECHA.MES(B10,1),Flujos!$A$2:$F$182,6)</f>
        <v>0.023494</v>
      </c>
      <c r="E13" s="10"/>
      <c r="F13" s="10"/>
    </row>
    <row r="14" spans="1:6" ht="12.75">
      <c r="A14" s="33" t="s">
        <v>2</v>
      </c>
      <c r="B14" s="36">
        <f>+DAYS360(B11,B10,TRUE)</f>
        <v>0</v>
      </c>
      <c r="E14" s="10"/>
      <c r="F14" s="10"/>
    </row>
    <row r="15" spans="1:6" ht="12.75">
      <c r="A15" s="33" t="s">
        <v>7</v>
      </c>
      <c r="B15" s="36">
        <v>30</v>
      </c>
      <c r="E15" s="10"/>
      <c r="F15" s="10"/>
    </row>
    <row r="16" spans="1:6" ht="12.75">
      <c r="A16" s="33" t="s">
        <v>8</v>
      </c>
      <c r="B16" s="38">
        <f>ROUND(B13/B12*B14/B15*100,4)</f>
        <v>0</v>
      </c>
      <c r="E16" s="10"/>
      <c r="F16" s="10"/>
    </row>
    <row r="17" spans="1:6" ht="12.75">
      <c r="A17" s="33" t="s">
        <v>10</v>
      </c>
      <c r="B17" s="41">
        <f>+'CALCULADORA TIPS Pesos E-11'!F12</f>
        <v>100.912</v>
      </c>
      <c r="E17" s="10"/>
      <c r="F17" s="10"/>
    </row>
    <row r="18" spans="1:6" ht="12.75">
      <c r="A18" s="33" t="s">
        <v>21</v>
      </c>
      <c r="B18" s="42">
        <f>+'CALCULADORA TIPS Pesos E-11'!F16</f>
        <v>1000000000</v>
      </c>
      <c r="E18" s="10"/>
      <c r="F18" s="10"/>
    </row>
    <row r="19" spans="1:6" ht="12.75">
      <c r="A19" s="33" t="s">
        <v>15</v>
      </c>
      <c r="B19" s="38">
        <v>1</v>
      </c>
      <c r="E19" s="10"/>
      <c r="F19" s="10"/>
    </row>
    <row r="20" spans="1:6" ht="12.75">
      <c r="A20" s="33" t="s">
        <v>22</v>
      </c>
      <c r="B20" s="42">
        <f>ROUND(B18*B19*(B17+B16)/100,0)</f>
        <v>1009120000</v>
      </c>
      <c r="C20" s="114"/>
      <c r="E20" s="10"/>
      <c r="F20" s="10"/>
    </row>
    <row r="21" spans="1:6" ht="12.75">
      <c r="A21" s="33" t="s">
        <v>23</v>
      </c>
      <c r="B21" s="37">
        <f>TRUNC(B20/B18,5)</f>
        <v>1.00912</v>
      </c>
      <c r="C21" s="115"/>
      <c r="E21" s="10"/>
      <c r="F21" s="10"/>
    </row>
    <row r="22" spans="1:6" ht="12.75">
      <c r="A22" s="33" t="s">
        <v>25</v>
      </c>
      <c r="B22" s="41">
        <f>TRUNC(B21/B19*100,3)</f>
        <v>100.912</v>
      </c>
      <c r="E22" s="10"/>
      <c r="F22" s="10"/>
    </row>
    <row r="23" spans="1:6" ht="12.75">
      <c r="A23" s="33" t="s">
        <v>26</v>
      </c>
      <c r="B23" s="41">
        <f>TRUNC(Flujos!H183/VLOOKUP('CALCULADORA TIPS Pesos E-11'!E6,Flujos!A2:D182,4)*100,3)</f>
        <v>100.329</v>
      </c>
      <c r="E23" s="10"/>
      <c r="F23" s="10"/>
    </row>
    <row r="24" spans="1:6" ht="12.75">
      <c r="A24" s="33" t="s">
        <v>27</v>
      </c>
      <c r="B24" s="38">
        <f>+B22-B23</f>
        <v>0.5830000000000126</v>
      </c>
      <c r="E24" s="10"/>
      <c r="F24" s="10"/>
    </row>
    <row r="25" spans="1:6" ht="13.5" thickBot="1">
      <c r="A25" s="39" t="s">
        <v>28</v>
      </c>
      <c r="B25" s="40">
        <f>TRUNC('CALCULADORA TIPS Pesos E-11'!F11,5)</f>
        <v>0.07503</v>
      </c>
      <c r="E25" s="10"/>
      <c r="F25" s="10"/>
    </row>
    <row r="26" spans="5:6" ht="13.5" thickBot="1">
      <c r="E26" s="10"/>
      <c r="F26" s="10"/>
    </row>
    <row r="27" spans="1:6" ht="13.5" thickBot="1">
      <c r="A27" s="310" t="s">
        <v>35</v>
      </c>
      <c r="B27" s="311"/>
      <c r="E27" s="10"/>
      <c r="F27" s="10"/>
    </row>
    <row r="28" spans="1:6" ht="12.75">
      <c r="A28" s="33" t="s">
        <v>29</v>
      </c>
      <c r="B28" s="116">
        <f>TRUNC('CALCULADORA TIPS Pesos E-11'!F11,5)</f>
        <v>0.07503</v>
      </c>
      <c r="E28" s="10"/>
      <c r="F28" s="10"/>
    </row>
    <row r="29" spans="1:6" ht="12.75">
      <c r="A29" s="33" t="s">
        <v>26</v>
      </c>
      <c r="B29" s="41">
        <f>TRUNC(Flujos!H183/VLOOKUP('CALCULADORA TIPS Pesos E-11'!E6,Flujos!A2:D182,4)*100,3)</f>
        <v>100.329</v>
      </c>
      <c r="E29" s="10"/>
      <c r="F29" s="10"/>
    </row>
    <row r="30" spans="1:6" ht="12.75">
      <c r="A30" s="102" t="s">
        <v>15</v>
      </c>
      <c r="B30" s="38">
        <v>1</v>
      </c>
      <c r="E30" s="10"/>
      <c r="F30" s="10"/>
    </row>
    <row r="31" spans="1:6" ht="12.75">
      <c r="A31" s="33" t="s">
        <v>21</v>
      </c>
      <c r="B31" s="42">
        <f>+'CALCULADORA TIPS Pesos E-11'!F16</f>
        <v>1000000000</v>
      </c>
      <c r="E31" s="10"/>
      <c r="F31" s="10"/>
    </row>
    <row r="32" spans="1:6" ht="12.75">
      <c r="A32" s="33" t="s">
        <v>22</v>
      </c>
      <c r="B32" s="42">
        <f>+ROUND(B29/100*B31*B30,0)</f>
        <v>1003290000</v>
      </c>
      <c r="E32" s="10"/>
      <c r="F32" s="10"/>
    </row>
    <row r="33" spans="1:6" ht="12.75">
      <c r="A33" s="33" t="s">
        <v>5</v>
      </c>
      <c r="B33" s="35">
        <f>+VLOOKUP(B11,Flujos!$A$2:$D$182,4)</f>
        <v>2.812009</v>
      </c>
      <c r="E33" s="10"/>
      <c r="F33" s="10"/>
    </row>
    <row r="34" spans="1:6" ht="12.75">
      <c r="A34" s="33" t="s">
        <v>6</v>
      </c>
      <c r="B34" s="35">
        <f>+VLOOKUP(_XLL.FECHA.MES(B10,1),Flujos!$A$2:$F$182,6)</f>
        <v>0.023494</v>
      </c>
      <c r="D34" s="117"/>
      <c r="E34" s="10"/>
      <c r="F34" s="10"/>
    </row>
    <row r="35" spans="1:6" ht="12.75">
      <c r="A35" s="33" t="s">
        <v>2</v>
      </c>
      <c r="B35" s="36">
        <f>+DAYS360(B11,B10,TRUE)</f>
        <v>0</v>
      </c>
      <c r="D35" s="118"/>
      <c r="E35" s="10"/>
      <c r="F35" s="10"/>
    </row>
    <row r="36" spans="1:6" ht="12.75">
      <c r="A36" s="33" t="s">
        <v>7</v>
      </c>
      <c r="B36" s="36">
        <v>30</v>
      </c>
      <c r="E36" s="10"/>
      <c r="F36" s="10"/>
    </row>
    <row r="37" spans="1:6" ht="12.75">
      <c r="A37" s="33" t="s">
        <v>23</v>
      </c>
      <c r="B37" s="37">
        <f>TRUNC(B32/(B30*B31),5)</f>
        <v>1.00329</v>
      </c>
      <c r="C37" s="119"/>
      <c r="E37" s="10"/>
      <c r="F37" s="10"/>
    </row>
    <row r="38" spans="1:6" ht="12.75">
      <c r="A38" s="33" t="s">
        <v>8</v>
      </c>
      <c r="B38" s="38">
        <f>ROUND(B34/B33*B35/B36,6)*100</f>
        <v>0</v>
      </c>
      <c r="E38" s="10"/>
      <c r="F38" s="10"/>
    </row>
    <row r="39" spans="1:6" ht="13.5" thickBot="1">
      <c r="A39" s="39" t="s">
        <v>10</v>
      </c>
      <c r="B39" s="120">
        <f>ROUND((B37-(B38/100))*100,3)</f>
        <v>100.329</v>
      </c>
      <c r="C39" s="121"/>
      <c r="E39" s="10"/>
      <c r="F39" s="10"/>
    </row>
    <row r="40" spans="2:6" ht="12.75">
      <c r="B40" s="121"/>
      <c r="E40" s="10"/>
      <c r="F40" s="10"/>
    </row>
    <row r="41" spans="2:6" ht="12.75">
      <c r="B41" s="119"/>
      <c r="E41" s="10"/>
      <c r="F41" s="10"/>
    </row>
    <row r="42" spans="2:6" ht="12.75">
      <c r="B42" s="122"/>
      <c r="E42" s="10"/>
      <c r="F42" s="10"/>
    </row>
    <row r="43" spans="5:6" ht="12.75">
      <c r="E43" s="10"/>
      <c r="F43" s="10"/>
    </row>
    <row r="44" spans="5:6" ht="12.75">
      <c r="E44" s="10"/>
      <c r="F44" s="10"/>
    </row>
    <row r="45" spans="5:6" ht="12.75">
      <c r="E45" s="10"/>
      <c r="F45" s="10"/>
    </row>
    <row r="46" spans="5:6" ht="12.75">
      <c r="E46" s="10"/>
      <c r="F46" s="10"/>
    </row>
    <row r="47" spans="5:6" ht="12.75">
      <c r="E47" s="10"/>
      <c r="F47" s="10"/>
    </row>
    <row r="48" spans="5:6" ht="12.75">
      <c r="E48" s="10"/>
      <c r="F48" s="10"/>
    </row>
    <row r="49" spans="5:6" ht="12.75">
      <c r="E49" s="10"/>
      <c r="F49" s="10"/>
    </row>
    <row r="50" spans="5:6" ht="12.75">
      <c r="E50" s="10"/>
      <c r="F50" s="10"/>
    </row>
    <row r="51" spans="5:6" ht="12.75">
      <c r="E51" s="10"/>
      <c r="F51" s="10"/>
    </row>
    <row r="52" spans="5:6" ht="12.75">
      <c r="E52" s="10"/>
      <c r="F52" s="10"/>
    </row>
    <row r="53" spans="5:6" ht="12.75">
      <c r="E53" s="10"/>
      <c r="F53" s="10"/>
    </row>
    <row r="54" spans="5:6" ht="12.75">
      <c r="E54" s="10"/>
      <c r="F54" s="10"/>
    </row>
    <row r="55" spans="5:6" ht="12.75">
      <c r="E55" s="10"/>
      <c r="F55" s="10"/>
    </row>
    <row r="56" spans="5:6" ht="12.75">
      <c r="E56" s="10"/>
      <c r="F56" s="10"/>
    </row>
    <row r="57" spans="5:6" ht="12.75">
      <c r="E57" s="10"/>
      <c r="F57" s="10"/>
    </row>
    <row r="58" spans="5:6" ht="12.75">
      <c r="E58" s="10"/>
      <c r="F58" s="10"/>
    </row>
    <row r="59" spans="5:6" ht="12.75">
      <c r="E59" s="10"/>
      <c r="F59" s="10"/>
    </row>
    <row r="60" spans="5:6" ht="12.75">
      <c r="E60" s="10"/>
      <c r="F60" s="10"/>
    </row>
    <row r="61" spans="5:6" ht="12.75">
      <c r="E61" s="10"/>
      <c r="F61" s="10"/>
    </row>
    <row r="62" spans="5:6" ht="12.75">
      <c r="E62" s="10"/>
      <c r="F62" s="10"/>
    </row>
    <row r="63" spans="5:6" ht="12.75">
      <c r="E63" s="10"/>
      <c r="F63" s="10"/>
    </row>
    <row r="64" spans="5:6" ht="12.75">
      <c r="E64" s="10"/>
      <c r="F64" s="10"/>
    </row>
    <row r="65" spans="5:6" ht="12.75">
      <c r="E65" s="10"/>
      <c r="F65" s="10"/>
    </row>
    <row r="66" spans="5:6" ht="12.75">
      <c r="E66" s="10"/>
      <c r="F66" s="10"/>
    </row>
    <row r="67" spans="5:6" ht="12.75">
      <c r="E67" s="10"/>
      <c r="F67" s="10"/>
    </row>
    <row r="68" spans="5:6" ht="12.75">
      <c r="E68" s="10"/>
      <c r="F68" s="10"/>
    </row>
    <row r="69" spans="5:6" ht="12.75">
      <c r="E69" s="10"/>
      <c r="F69" s="10"/>
    </row>
    <row r="70" spans="5:6" ht="12.75">
      <c r="E70" s="10"/>
      <c r="F70" s="10"/>
    </row>
    <row r="71" spans="5:6" ht="12.75">
      <c r="E71" s="10"/>
      <c r="F71" s="10"/>
    </row>
    <row r="72" spans="5:6" ht="12.75">
      <c r="E72" s="10"/>
      <c r="F72" s="10"/>
    </row>
    <row r="73" spans="5:6" ht="12.75">
      <c r="E73" s="10"/>
      <c r="F73" s="10"/>
    </row>
    <row r="74" spans="5:6" ht="12.75">
      <c r="E74" s="10"/>
      <c r="F74" s="10"/>
    </row>
    <row r="75" spans="5:6" ht="12.75">
      <c r="E75" s="10"/>
      <c r="F75" s="10"/>
    </row>
    <row r="76" spans="5:6" ht="12.75">
      <c r="E76" s="10"/>
      <c r="F76" s="10"/>
    </row>
    <row r="77" spans="5:6" ht="12.75">
      <c r="E77" s="10"/>
      <c r="F77" s="10"/>
    </row>
    <row r="78" spans="5:6" ht="12.75">
      <c r="E78" s="10"/>
      <c r="F78" s="10"/>
    </row>
    <row r="79" spans="5:6" ht="12.75">
      <c r="E79" s="10"/>
      <c r="F79" s="10"/>
    </row>
    <row r="80" spans="5:6" ht="12.75">
      <c r="E80" s="10"/>
      <c r="F80" s="10"/>
    </row>
    <row r="81" spans="5:6" ht="12.75">
      <c r="E81" s="10"/>
      <c r="F81" s="10"/>
    </row>
    <row r="82" spans="5:6" ht="12.75">
      <c r="E82" s="10"/>
      <c r="F82" s="10"/>
    </row>
    <row r="83" spans="5:6" ht="12.75">
      <c r="E83" s="10"/>
      <c r="F83" s="10"/>
    </row>
    <row r="84" spans="5:6" ht="12.75">
      <c r="E84" s="10"/>
      <c r="F84" s="10"/>
    </row>
    <row r="85" spans="5:6" ht="12.75">
      <c r="E85" s="10"/>
      <c r="F85" s="10"/>
    </row>
    <row r="86" spans="5:6" ht="12.75">
      <c r="E86" s="10"/>
      <c r="F86" s="10"/>
    </row>
    <row r="87" spans="5:6" ht="12.75">
      <c r="E87" s="10"/>
      <c r="F87" s="10"/>
    </row>
    <row r="88" spans="5:6" ht="12.75">
      <c r="E88" s="10"/>
      <c r="F88" s="10"/>
    </row>
    <row r="89" spans="5:6" ht="12.75">
      <c r="E89" s="10"/>
      <c r="F89" s="10"/>
    </row>
    <row r="90" spans="5:6" ht="12.75">
      <c r="E90" s="10"/>
      <c r="F90" s="10"/>
    </row>
    <row r="91" spans="5:6" ht="12.75">
      <c r="E91" s="10"/>
      <c r="F91" s="10"/>
    </row>
    <row r="92" spans="5:6" ht="12.75">
      <c r="E92" s="10"/>
      <c r="F92" s="10"/>
    </row>
    <row r="93" spans="5:6" ht="12.75">
      <c r="E93" s="10"/>
      <c r="F93" s="10"/>
    </row>
    <row r="94" spans="5:6" ht="12.75">
      <c r="E94" s="10"/>
      <c r="F94" s="10"/>
    </row>
    <row r="95" spans="5:6" ht="12.75">
      <c r="E95" s="10"/>
      <c r="F95" s="10"/>
    </row>
    <row r="96" spans="5:6" ht="12.75">
      <c r="E96" s="10"/>
      <c r="F96" s="10"/>
    </row>
    <row r="97" spans="5:6" ht="12.75">
      <c r="E97" s="10"/>
      <c r="F97" s="10"/>
    </row>
    <row r="98" spans="5:6" ht="12.75">
      <c r="E98" s="10"/>
      <c r="F98" s="10"/>
    </row>
    <row r="99" spans="5:6" ht="12.75">
      <c r="E99" s="10"/>
      <c r="F99" s="10"/>
    </row>
    <row r="100" spans="5:6" ht="12.75">
      <c r="E100" s="10"/>
      <c r="F100" s="10"/>
    </row>
    <row r="101" spans="5:6" ht="12.75">
      <c r="E101" s="10"/>
      <c r="F101" s="10"/>
    </row>
    <row r="102" spans="5:6" ht="12.75">
      <c r="E102" s="10"/>
      <c r="F102" s="10"/>
    </row>
    <row r="103" spans="5:6" ht="12.75">
      <c r="E103" s="10"/>
      <c r="F103" s="10"/>
    </row>
    <row r="104" spans="5:6" ht="12.75">
      <c r="E104" s="10"/>
      <c r="F104" s="10"/>
    </row>
    <row r="105" spans="5:6" ht="12.75">
      <c r="E105" s="10"/>
      <c r="F105" s="10"/>
    </row>
    <row r="106" spans="5:6" ht="12.75">
      <c r="E106" s="10"/>
      <c r="F106" s="10"/>
    </row>
    <row r="107" spans="5:6" ht="12.75">
      <c r="E107" s="10"/>
      <c r="F107" s="10"/>
    </row>
    <row r="108" spans="5:6" ht="12.75">
      <c r="E108" s="10"/>
      <c r="F108" s="10"/>
    </row>
    <row r="109" spans="5:6" ht="12.75">
      <c r="E109" s="10"/>
      <c r="F109" s="10"/>
    </row>
    <row r="110" spans="5:6" ht="12.75">
      <c r="E110" s="10"/>
      <c r="F110" s="10"/>
    </row>
    <row r="111" spans="5:6" ht="12.75">
      <c r="E111" s="10"/>
      <c r="F111" s="10"/>
    </row>
    <row r="112" spans="5:6" ht="12.75">
      <c r="E112" s="10"/>
      <c r="F112" s="10"/>
    </row>
    <row r="113" spans="5:6" ht="12.75">
      <c r="E113" s="10"/>
      <c r="F113" s="10"/>
    </row>
    <row r="114" spans="5:6" ht="12.75">
      <c r="E114" s="10"/>
      <c r="F114" s="10"/>
    </row>
    <row r="115" spans="5:6" ht="12.75">
      <c r="E115" s="10"/>
      <c r="F115" s="10"/>
    </row>
    <row r="116" spans="5:6" ht="12.75">
      <c r="E116" s="10"/>
      <c r="F116" s="10"/>
    </row>
    <row r="117" spans="5:6" ht="12.75">
      <c r="E117" s="10"/>
      <c r="F117" s="10"/>
    </row>
    <row r="118" spans="5:6" ht="12.75">
      <c r="E118" s="10"/>
      <c r="F118" s="10"/>
    </row>
    <row r="119" spans="5:6" ht="12.75">
      <c r="E119" s="10"/>
      <c r="F119" s="10"/>
    </row>
    <row r="120" spans="5:6" ht="12.75">
      <c r="E120" s="10"/>
      <c r="F120" s="10"/>
    </row>
    <row r="121" spans="5:6" ht="12.75">
      <c r="E121" s="10"/>
      <c r="F121" s="10"/>
    </row>
    <row r="122" spans="5:6" ht="12.75">
      <c r="E122" s="10"/>
      <c r="F122" s="10"/>
    </row>
    <row r="123" spans="5:6" ht="12.75">
      <c r="E123" s="10"/>
      <c r="F123" s="10"/>
    </row>
    <row r="124" spans="5:6" ht="12.75">
      <c r="E124" s="10"/>
      <c r="F124" s="10"/>
    </row>
    <row r="125" spans="5:6" ht="12.75">
      <c r="E125" s="10"/>
      <c r="F125" s="10"/>
    </row>
    <row r="126" spans="5:6" ht="12.75">
      <c r="E126" s="10"/>
      <c r="F126" s="10"/>
    </row>
    <row r="127" spans="5:6" ht="12.75">
      <c r="E127" s="10"/>
      <c r="F127" s="10"/>
    </row>
    <row r="128" spans="5:6" ht="12.75">
      <c r="E128" s="10"/>
      <c r="F128" s="10"/>
    </row>
    <row r="129" spans="5:6" ht="12.75">
      <c r="E129" s="10"/>
      <c r="F129" s="10"/>
    </row>
    <row r="130" spans="5:6" ht="12.75">
      <c r="E130" s="10"/>
      <c r="F130" s="10"/>
    </row>
    <row r="131" spans="5:6" ht="12.75">
      <c r="E131" s="10"/>
      <c r="F131" s="10"/>
    </row>
    <row r="132" spans="5:6" ht="12.75">
      <c r="E132" s="10"/>
      <c r="F132" s="10"/>
    </row>
    <row r="133" spans="5:6" ht="12.75">
      <c r="E133" s="10"/>
      <c r="F133" s="10"/>
    </row>
    <row r="134" spans="5:6" ht="12.75">
      <c r="E134" s="10"/>
      <c r="F134" s="10"/>
    </row>
    <row r="135" spans="5:6" ht="12.75">
      <c r="E135" s="10"/>
      <c r="F135" s="10"/>
    </row>
    <row r="136" spans="5:6" ht="12.75">
      <c r="E136" s="10"/>
      <c r="F136" s="10"/>
    </row>
    <row r="137" spans="5:6" ht="12.75">
      <c r="E137" s="10"/>
      <c r="F137" s="10"/>
    </row>
    <row r="138" spans="5:6" ht="12.75">
      <c r="E138" s="10"/>
      <c r="F138" s="10"/>
    </row>
    <row r="139" spans="5:6" ht="12.75">
      <c r="E139" s="10"/>
      <c r="F139" s="10"/>
    </row>
    <row r="140" spans="5:6" ht="12.75">
      <c r="E140" s="10"/>
      <c r="F140" s="10"/>
    </row>
    <row r="141" spans="5:6" ht="12.75">
      <c r="E141" s="10"/>
      <c r="F141" s="10"/>
    </row>
    <row r="142" spans="5:6" ht="12.75">
      <c r="E142" s="10"/>
      <c r="F142" s="10"/>
    </row>
    <row r="143" spans="5:6" ht="12.75">
      <c r="E143" s="10"/>
      <c r="F143" s="10"/>
    </row>
    <row r="144" spans="5:6" ht="12.75">
      <c r="E144" s="10"/>
      <c r="F144" s="10"/>
    </row>
    <row r="145" spans="5:6" ht="12.75">
      <c r="E145" s="10"/>
      <c r="F145" s="10"/>
    </row>
    <row r="146" spans="5:6" ht="12.75">
      <c r="E146" s="10"/>
      <c r="F146" s="10"/>
    </row>
    <row r="147" spans="5:6" ht="12.75">
      <c r="E147" s="10"/>
      <c r="F147" s="10"/>
    </row>
    <row r="148" spans="5:6" ht="12.75">
      <c r="E148" s="10"/>
      <c r="F148" s="10"/>
    </row>
    <row r="149" spans="5:6" ht="12.75">
      <c r="E149" s="10"/>
      <c r="F149" s="10"/>
    </row>
    <row r="150" spans="5:6" ht="12.75">
      <c r="E150" s="10"/>
      <c r="F150" s="10"/>
    </row>
    <row r="151" spans="5:6" ht="12.75">
      <c r="E151" s="10"/>
      <c r="F151" s="10"/>
    </row>
    <row r="152" spans="5:6" ht="12.75">
      <c r="E152" s="10"/>
      <c r="F152" s="10"/>
    </row>
    <row r="153" spans="5:6" ht="12.75">
      <c r="E153" s="10"/>
      <c r="F153" s="10"/>
    </row>
    <row r="154" spans="5:6" ht="12.75">
      <c r="E154" s="10"/>
      <c r="F154" s="10"/>
    </row>
    <row r="155" spans="5:6" ht="12.75">
      <c r="E155" s="10"/>
      <c r="F155" s="10"/>
    </row>
    <row r="156" spans="5:6" ht="12.75">
      <c r="E156" s="10"/>
      <c r="F156" s="10"/>
    </row>
    <row r="157" spans="5:6" ht="12.75">
      <c r="E157" s="10"/>
      <c r="F157" s="10"/>
    </row>
    <row r="158" spans="5:6" ht="12.75">
      <c r="E158" s="10"/>
      <c r="F158" s="10"/>
    </row>
    <row r="159" spans="5:6" ht="12.75">
      <c r="E159" s="10"/>
      <c r="F159" s="10"/>
    </row>
    <row r="160" spans="5:6" ht="12.75">
      <c r="E160" s="10"/>
      <c r="F160" s="10"/>
    </row>
    <row r="161" spans="5:6" ht="12.75">
      <c r="E161" s="10"/>
      <c r="F161" s="10"/>
    </row>
    <row r="162" spans="5:6" ht="12.75">
      <c r="E162" s="10"/>
      <c r="F162" s="10"/>
    </row>
    <row r="163" spans="5:6" ht="12.75">
      <c r="E163" s="10"/>
      <c r="F163" s="10"/>
    </row>
    <row r="164" spans="5:6" ht="12.75">
      <c r="E164" s="10"/>
      <c r="F164" s="10"/>
    </row>
    <row r="165" spans="5:6" ht="12.75">
      <c r="E165" s="10"/>
      <c r="F165" s="10"/>
    </row>
    <row r="166" spans="5:6" ht="12.75">
      <c r="E166" s="10"/>
      <c r="F166" s="10"/>
    </row>
    <row r="167" spans="5:6" ht="12.75">
      <c r="E167" s="10"/>
      <c r="F167" s="10"/>
    </row>
    <row r="168" spans="5:6" ht="12.75">
      <c r="E168" s="10"/>
      <c r="F168" s="10"/>
    </row>
    <row r="169" spans="5:6" ht="12.75">
      <c r="E169" s="10"/>
      <c r="F169" s="10"/>
    </row>
    <row r="170" spans="5:6" ht="12.75">
      <c r="E170" s="10"/>
      <c r="F170" s="10"/>
    </row>
    <row r="171" spans="5:6" ht="12.75">
      <c r="E171" s="10"/>
      <c r="F171" s="10"/>
    </row>
    <row r="172" spans="5:6" ht="12.75">
      <c r="E172" s="10"/>
      <c r="F172" s="10"/>
    </row>
    <row r="173" spans="5:6" ht="12.75">
      <c r="E173" s="10"/>
      <c r="F173" s="10"/>
    </row>
    <row r="174" spans="5:6" ht="12.75">
      <c r="E174" s="10"/>
      <c r="F174" s="10"/>
    </row>
    <row r="175" spans="5:6" ht="12.75">
      <c r="E175" s="10"/>
      <c r="F175" s="10"/>
    </row>
    <row r="176" spans="5:6" ht="12.75">
      <c r="E176" s="10"/>
      <c r="F176" s="10"/>
    </row>
    <row r="177" spans="5:6" ht="12.75">
      <c r="E177" s="10"/>
      <c r="F177" s="10"/>
    </row>
    <row r="178" spans="5:6" ht="12.75">
      <c r="E178" s="10"/>
      <c r="F178" s="10"/>
    </row>
    <row r="179" spans="5:6" ht="12.75">
      <c r="E179" s="10"/>
      <c r="F179" s="10"/>
    </row>
    <row r="180" spans="5:6" ht="12.75">
      <c r="E180" s="10"/>
      <c r="F180" s="10"/>
    </row>
    <row r="181" spans="5:6" ht="12.75">
      <c r="E181" s="10"/>
      <c r="F181" s="10"/>
    </row>
    <row r="182" spans="5:6" ht="12.75">
      <c r="E182" s="10"/>
      <c r="F182" s="10"/>
    </row>
    <row r="183" spans="5:6" ht="12.75">
      <c r="E183" s="10"/>
      <c r="F183" s="10"/>
    </row>
    <row r="184" spans="5:6" ht="12.75">
      <c r="E184" s="10"/>
      <c r="F184" s="10"/>
    </row>
    <row r="185" spans="5:6" ht="12.75">
      <c r="E185" s="10"/>
      <c r="F185" s="10"/>
    </row>
    <row r="186" spans="5:6" ht="12.75">
      <c r="E186" s="10"/>
      <c r="F186" s="10"/>
    </row>
    <row r="187" spans="5:6" ht="12.75">
      <c r="E187" s="10"/>
      <c r="F187" s="10"/>
    </row>
    <row r="188" spans="5:6" ht="12.75">
      <c r="E188" s="10"/>
      <c r="F188" s="10"/>
    </row>
    <row r="189" spans="5:6" ht="12.75">
      <c r="E189" s="10"/>
      <c r="F189" s="10"/>
    </row>
    <row r="190" spans="5:6" ht="12.75">
      <c r="E190" s="10"/>
      <c r="F190" s="10"/>
    </row>
    <row r="191" spans="5:6" ht="12.75">
      <c r="E191" s="10"/>
      <c r="F191" s="10"/>
    </row>
    <row r="192" spans="5:6" ht="12.75">
      <c r="E192" s="10"/>
      <c r="F192" s="10"/>
    </row>
    <row r="193" spans="5:6" ht="12.75">
      <c r="E193" s="10"/>
      <c r="F193" s="10"/>
    </row>
    <row r="194" spans="5:6" ht="12.75">
      <c r="E194" s="10"/>
      <c r="F194" s="10"/>
    </row>
    <row r="195" spans="5:6" ht="12.75">
      <c r="E195" s="10"/>
      <c r="F195" s="10"/>
    </row>
    <row r="196" spans="5:6" ht="12.75">
      <c r="E196" s="10"/>
      <c r="F196" s="10"/>
    </row>
    <row r="197" spans="5:6" ht="12.75">
      <c r="E197" s="10"/>
      <c r="F197" s="10"/>
    </row>
    <row r="198" spans="5:6" ht="12.75">
      <c r="E198" s="10"/>
      <c r="F198" s="10"/>
    </row>
    <row r="199" spans="5:6" ht="12.75">
      <c r="E199" s="10"/>
      <c r="F199" s="10"/>
    </row>
    <row r="200" spans="5:6" ht="12.75">
      <c r="E200" s="10"/>
      <c r="F200" s="10"/>
    </row>
    <row r="201" spans="5:6" ht="12.75">
      <c r="E201" s="10"/>
      <c r="F201" s="10"/>
    </row>
    <row r="202" spans="5:6" ht="12.75">
      <c r="E202" s="10"/>
      <c r="F202" s="10"/>
    </row>
    <row r="203" spans="5:6" ht="12.75">
      <c r="E203" s="10"/>
      <c r="F203" s="10"/>
    </row>
    <row r="204" spans="5:6" ht="12.75">
      <c r="E204" s="10"/>
      <c r="F204" s="10"/>
    </row>
    <row r="205" spans="5:6" ht="12.75">
      <c r="E205" s="10"/>
      <c r="F205" s="10"/>
    </row>
    <row r="206" spans="5:6" ht="12.75">
      <c r="E206" s="10"/>
      <c r="F206" s="10"/>
    </row>
    <row r="207" spans="5:6" ht="12.75">
      <c r="E207" s="10"/>
      <c r="F207" s="10"/>
    </row>
    <row r="208" spans="5:6" ht="12.75">
      <c r="E208" s="10"/>
      <c r="F208" s="10"/>
    </row>
    <row r="209" spans="5:6" ht="12.75">
      <c r="E209" s="10"/>
      <c r="F209" s="10"/>
    </row>
    <row r="210" spans="5:6" ht="12.75">
      <c r="E210" s="10"/>
      <c r="F210" s="10"/>
    </row>
    <row r="211" spans="5:6" ht="12.75">
      <c r="E211" s="10"/>
      <c r="F211" s="10"/>
    </row>
    <row r="212" spans="5:6" ht="12.75">
      <c r="E212" s="10"/>
      <c r="F212" s="10"/>
    </row>
    <row r="213" spans="5:6" ht="12.75">
      <c r="E213" s="10"/>
      <c r="F213" s="10"/>
    </row>
    <row r="214" spans="5:6" ht="12.75">
      <c r="E214" s="10"/>
      <c r="F214" s="10"/>
    </row>
    <row r="215" spans="5:6" ht="12.75">
      <c r="E215" s="10"/>
      <c r="F215" s="10"/>
    </row>
    <row r="216" spans="5:6" ht="12.75">
      <c r="E216" s="10"/>
      <c r="F216" s="10"/>
    </row>
    <row r="217" spans="5:6" ht="12.75">
      <c r="E217" s="10"/>
      <c r="F217" s="10"/>
    </row>
    <row r="218" spans="5:6" ht="12.75">
      <c r="E218" s="10"/>
      <c r="F218" s="10"/>
    </row>
    <row r="219" spans="5:6" ht="12.75">
      <c r="E219" s="10"/>
      <c r="F219" s="10"/>
    </row>
    <row r="220" spans="5:6" ht="12.75">
      <c r="E220" s="10"/>
      <c r="F220" s="10"/>
    </row>
    <row r="221" spans="5:6" ht="12.75">
      <c r="E221" s="10"/>
      <c r="F221" s="10"/>
    </row>
    <row r="222" spans="5:6" ht="12.75">
      <c r="E222" s="10"/>
      <c r="F222" s="10"/>
    </row>
    <row r="223" spans="5:6" ht="12.75">
      <c r="E223" s="10"/>
      <c r="F223" s="10"/>
    </row>
    <row r="224" spans="5:6" ht="12.75">
      <c r="E224" s="10"/>
      <c r="F224" s="10"/>
    </row>
    <row r="225" spans="5:6" ht="12.75">
      <c r="E225" s="10"/>
      <c r="F225" s="10"/>
    </row>
    <row r="226" spans="5:6" ht="12.75">
      <c r="E226" s="10"/>
      <c r="F226" s="10"/>
    </row>
    <row r="227" spans="5:6" ht="12.75">
      <c r="E227" s="10"/>
      <c r="F227" s="10"/>
    </row>
    <row r="228" spans="5:6" ht="12.75">
      <c r="E228" s="10"/>
      <c r="F228" s="10"/>
    </row>
    <row r="229" spans="5:6" ht="12.75">
      <c r="E229" s="10"/>
      <c r="F229" s="10"/>
    </row>
    <row r="230" spans="5:6" ht="12.75">
      <c r="E230" s="10"/>
      <c r="F230" s="10"/>
    </row>
    <row r="231" spans="5:6" ht="12.75">
      <c r="E231" s="10"/>
      <c r="F231" s="10"/>
    </row>
    <row r="232" spans="5:6" ht="12.75">
      <c r="E232" s="10"/>
      <c r="F232" s="10"/>
    </row>
    <row r="233" spans="5:6" ht="12.75">
      <c r="E233" s="10"/>
      <c r="F233" s="10"/>
    </row>
    <row r="234" spans="5:6" ht="12.75">
      <c r="E234" s="10"/>
      <c r="F234" s="10"/>
    </row>
    <row r="235" spans="5:6" ht="12.75">
      <c r="E235" s="10"/>
      <c r="F235" s="10"/>
    </row>
    <row r="236" spans="5:6" ht="12.75">
      <c r="E236" s="10"/>
      <c r="F236" s="10"/>
    </row>
    <row r="237" spans="5:6" ht="12.75">
      <c r="E237" s="10"/>
      <c r="F237" s="10"/>
    </row>
    <row r="238" spans="5:6" ht="12.75">
      <c r="E238" s="10"/>
      <c r="F238" s="10"/>
    </row>
    <row r="239" spans="5:6" ht="12.75">
      <c r="E239" s="10"/>
      <c r="F239" s="10"/>
    </row>
    <row r="240" spans="5:6" ht="12.75">
      <c r="E240" s="10"/>
      <c r="F240" s="10"/>
    </row>
    <row r="65536" ht="12.75">
      <c r="E65536" s="10"/>
    </row>
  </sheetData>
  <sheetProtection password="C539" sheet="1" objects="1" scenarios="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P195"/>
  <sheetViews>
    <sheetView showGridLines="0" zoomScalePageLayoutView="0" workbookViewId="0" topLeftCell="A1">
      <pane xSplit="1" ySplit="1" topLeftCell="B35" activePane="bottomRight" state="frozen"/>
      <selection pane="topLeft" activeCell="A1" sqref="A1"/>
      <selection pane="topRight" activeCell="B1" sqref="B1"/>
      <selection pane="bottomLeft" activeCell="A7" sqref="A7"/>
      <selection pane="bottomRight" activeCell="A52" sqref="A52:IV52"/>
    </sheetView>
  </sheetViews>
  <sheetFormatPr defaultColWidth="0" defaultRowHeight="12.75" zeroHeight="1"/>
  <cols>
    <col min="1" max="1" width="10.8515625" style="3" bestFit="1" customWidth="1"/>
    <col min="2" max="2" width="10.00390625" style="2" customWidth="1"/>
    <col min="3" max="3" width="14.7109375" style="1" bestFit="1" customWidth="1"/>
    <col min="4" max="4" width="14.28125" style="1" hidden="1" customWidth="1"/>
    <col min="5" max="5" width="15.57421875" style="2" hidden="1" customWidth="1"/>
    <col min="6" max="6" width="17.8515625" style="2" hidden="1" customWidth="1"/>
    <col min="7" max="7" width="13.8515625" style="2" hidden="1" customWidth="1"/>
    <col min="8" max="8" width="12.57421875" style="2" hidden="1" customWidth="1"/>
    <col min="9" max="9" width="10.140625" style="11" hidden="1" customWidth="1"/>
    <col min="10" max="10" width="12.140625" style="3" hidden="1" customWidth="1"/>
    <col min="11" max="11" width="14.57421875" style="3" hidden="1" customWidth="1"/>
    <col min="12" max="12" width="19.28125" style="93" customWidth="1"/>
    <col min="13" max="13" width="18.421875" style="93" bestFit="1" customWidth="1"/>
    <col min="14" max="14" width="19.140625" style="93" bestFit="1" customWidth="1"/>
    <col min="15" max="15" width="18.421875" style="93" bestFit="1" customWidth="1"/>
    <col min="16" max="16" width="18.28125" style="93" hidden="1" customWidth="1"/>
    <col min="17" max="16384" width="10.00390625" style="93" hidden="1" customWidth="1"/>
  </cols>
  <sheetData>
    <row r="1" spans="1:15" s="90" customFormat="1" ht="13.5" thickBot="1">
      <c r="A1" s="17" t="s">
        <v>76</v>
      </c>
      <c r="B1" s="18" t="s">
        <v>77</v>
      </c>
      <c r="C1" s="19" t="s">
        <v>78</v>
      </c>
      <c r="D1" s="19" t="s">
        <v>30</v>
      </c>
      <c r="E1" s="18" t="s">
        <v>31</v>
      </c>
      <c r="F1" s="18" t="s">
        <v>32</v>
      </c>
      <c r="G1" s="18" t="s">
        <v>33</v>
      </c>
      <c r="H1" s="27" t="s">
        <v>9</v>
      </c>
      <c r="I1" s="29" t="s">
        <v>18</v>
      </c>
      <c r="J1" s="24" t="s">
        <v>19</v>
      </c>
      <c r="K1" s="20" t="s">
        <v>20</v>
      </c>
      <c r="L1" s="17" t="s">
        <v>79</v>
      </c>
      <c r="M1" s="19" t="s">
        <v>80</v>
      </c>
      <c r="N1" s="19" t="s">
        <v>81</v>
      </c>
      <c r="O1" s="45" t="s">
        <v>82</v>
      </c>
    </row>
    <row r="2" spans="1:15" ht="12.75">
      <c r="A2" s="4">
        <f>+'CALCULADORA TIPS Pesos E-11'!C12</f>
        <v>39946</v>
      </c>
      <c r="B2" s="9">
        <f>IF(DIAS365('CALCULADORA TIPS Pesos E-11'!$E$6,A2)&lt;0,0,DIAS365('CALCULADORA TIPS Pesos E-11'!$E$6,A2))</f>
        <v>0</v>
      </c>
      <c r="C2" s="5">
        <v>0</v>
      </c>
      <c r="D2" s="14">
        <f>+'CALCULADORA TIPS Pesos E-11'!F15/Flujos!C183</f>
        <v>100</v>
      </c>
      <c r="E2" s="15">
        <v>0</v>
      </c>
      <c r="F2" s="15">
        <v>0</v>
      </c>
      <c r="G2" s="15">
        <f>F2+E2</f>
        <v>0</v>
      </c>
      <c r="H2" s="28">
        <f>IF($B2&lt;0,0,G2/POWER(1+'CALCULADORA TIPS Pesos E-11'!$F$11,Flujos!$B2/365))</f>
        <v>0</v>
      </c>
      <c r="I2" s="30">
        <f>+A2</f>
        <v>39946</v>
      </c>
      <c r="J2" s="25">
        <v>0</v>
      </c>
      <c r="K2" s="12">
        <v>0</v>
      </c>
      <c r="L2" s="162">
        <f>+Características!B18/Flujos!C183</f>
        <v>35561763849.262215</v>
      </c>
      <c r="M2" s="91">
        <v>0</v>
      </c>
      <c r="N2" s="91">
        <v>0</v>
      </c>
      <c r="O2" s="92">
        <f>+N2+M2</f>
        <v>0</v>
      </c>
    </row>
    <row r="3" spans="1:15" ht="12.75">
      <c r="A3" s="4">
        <f aca="true" t="shared" si="0" ref="A3:A34">_XLL.FECHA.MES(A2,1)</f>
        <v>39977</v>
      </c>
      <c r="B3" s="9">
        <f>IF(DIAS365('CALCULADORA TIPS Pesos E-11'!$E$6,A3)&lt;0,0,DIAS365('CALCULADORA TIPS Pesos E-11'!$E$6,A3))</f>
        <v>0</v>
      </c>
      <c r="C3" s="5">
        <f>+HLOOKUP('CALCULADORA TIPS Pesos E-11'!$E$4,Tablas!$B$1:$C$181,Flujos!J3+1,FALSE)</f>
        <v>0</v>
      </c>
      <c r="D3" s="14">
        <f>+ROUND(D2-E3,6)</f>
        <v>100</v>
      </c>
      <c r="E3" s="15">
        <f>ROUND(C3*$D$2,6)</f>
        <v>0</v>
      </c>
      <c r="F3" s="15">
        <f>ROUND(D2*ROUND(((1+'CALCULADORA TIPS Pesos E-11'!$C$14)^(1/12)-1),6),6)</f>
        <v>0.8355</v>
      </c>
      <c r="G3" s="15">
        <f>F3+E3</f>
        <v>0.8355</v>
      </c>
      <c r="H3" s="28">
        <f>IF($B3=0,0,G3/POWER(1+'CALCULADORA TIPS Pesos E-11'!$F$11,Flujos!$B3/365))</f>
        <v>0</v>
      </c>
      <c r="I3" s="30">
        <f aca="true" t="shared" si="1" ref="I3:I66">+A3</f>
        <v>39977</v>
      </c>
      <c r="J3" s="25">
        <v>1</v>
      </c>
      <c r="K3" s="12">
        <f>+DIAS365($A$2,A3)</f>
        <v>31</v>
      </c>
      <c r="L3" s="94">
        <f>+L2-M3</f>
        <v>35561763849.262215</v>
      </c>
      <c r="M3" s="91">
        <f>+$L$2*C3</f>
        <v>0</v>
      </c>
      <c r="N3" s="91">
        <f>+L2*$F$3%</f>
        <v>297118536.9605858</v>
      </c>
      <c r="O3" s="92">
        <f>+N3+M3</f>
        <v>297118536.9605858</v>
      </c>
    </row>
    <row r="4" spans="1:16" s="161" customFormat="1" ht="12.75">
      <c r="A4" s="148">
        <f t="shared" si="0"/>
        <v>40007</v>
      </c>
      <c r="B4" s="149">
        <f>IF(DIAS365('CALCULADORA TIPS Pesos E-11'!$E$6,A4)&lt;0,0,DIAS365('CALCULADORA TIPS Pesos E-11'!$E$6,A4))</f>
        <v>0</v>
      </c>
      <c r="C4" s="150">
        <f>+HLOOKUP('CALCULADORA TIPS Pesos E-11'!$E$4,Tablas!$B$1:$C$181,Flujos!J4+1,FALSE)</f>
        <v>0</v>
      </c>
      <c r="D4" s="151">
        <f aca="true" t="shared" si="2" ref="D4:D67">+ROUND(D3-E4,6)</f>
        <v>100</v>
      </c>
      <c r="E4" s="152">
        <f aca="true" t="shared" si="3" ref="E4:E67">ROUND(C4*$D$2,6)</f>
        <v>0</v>
      </c>
      <c r="F4" s="152">
        <f>ROUND(D3*ROUND(((1+'CALCULADORA TIPS Pesos E-11'!$C$14)^(1/12)-1),6),6)</f>
        <v>0.8355</v>
      </c>
      <c r="G4" s="152">
        <f aca="true" t="shared" si="4" ref="G4:G67">F4+E4</f>
        <v>0.8355</v>
      </c>
      <c r="H4" s="153">
        <f>IF($B4=0,0,G4/POWER(1+'CALCULADORA TIPS Pesos E-11'!$F$11,Flujos!$B4/365))</f>
        <v>0</v>
      </c>
      <c r="I4" s="154">
        <f t="shared" si="1"/>
        <v>40007</v>
      </c>
      <c r="J4" s="155">
        <v>2</v>
      </c>
      <c r="K4" s="156">
        <f aca="true" t="shared" si="5" ref="K4:K67">+DIAS365($A$2,A4)</f>
        <v>61</v>
      </c>
      <c r="L4" s="157">
        <f aca="true" t="shared" si="6" ref="L4:L67">+L3-M4</f>
        <v>35561763849.262215</v>
      </c>
      <c r="M4" s="158">
        <f aca="true" t="shared" si="7" ref="M4:M67">+$L$2*C4</f>
        <v>0</v>
      </c>
      <c r="N4" s="158">
        <f aca="true" t="shared" si="8" ref="N4:N67">+L3*$F$3%</f>
        <v>297118536.9605858</v>
      </c>
      <c r="O4" s="159">
        <f aca="true" t="shared" si="9" ref="O4:O67">+N4+M4</f>
        <v>297118536.9605858</v>
      </c>
      <c r="P4" s="160"/>
    </row>
    <row r="5" spans="1:15" s="161" customFormat="1" ht="12.75">
      <c r="A5" s="148">
        <f t="shared" si="0"/>
        <v>40038</v>
      </c>
      <c r="B5" s="149">
        <f>IF(DIAS365('CALCULADORA TIPS Pesos E-11'!$E$6,A5)&lt;0,0,DIAS365('CALCULADORA TIPS Pesos E-11'!$E$6,A5))</f>
        <v>0</v>
      </c>
      <c r="C5" s="150">
        <f>+HLOOKUP('CALCULADORA TIPS Pesos E-11'!$E$4,Tablas!$B$1:$C$181,Flujos!J5+1,FALSE)</f>
        <v>0</v>
      </c>
      <c r="D5" s="151">
        <f t="shared" si="2"/>
        <v>100</v>
      </c>
      <c r="E5" s="152">
        <f t="shared" si="3"/>
        <v>0</v>
      </c>
      <c r="F5" s="152">
        <f>ROUND(D4*ROUND(((1+'CALCULADORA TIPS Pesos E-11'!$C$14)^(1/12)-1),6),6)</f>
        <v>0.8355</v>
      </c>
      <c r="G5" s="152">
        <f t="shared" si="4"/>
        <v>0.8355</v>
      </c>
      <c r="H5" s="153">
        <f>IF($B5=0,0,G5/POWER(1+'CALCULADORA TIPS Pesos E-11'!$F$11,Flujos!$B5/365))</f>
        <v>0</v>
      </c>
      <c r="I5" s="154">
        <f t="shared" si="1"/>
        <v>40038</v>
      </c>
      <c r="J5" s="155">
        <v>3</v>
      </c>
      <c r="K5" s="156">
        <f t="shared" si="5"/>
        <v>92</v>
      </c>
      <c r="L5" s="157">
        <f t="shared" si="6"/>
        <v>35561763849.262215</v>
      </c>
      <c r="M5" s="158">
        <f t="shared" si="7"/>
        <v>0</v>
      </c>
      <c r="N5" s="158">
        <f t="shared" si="8"/>
        <v>297118536.9605858</v>
      </c>
      <c r="O5" s="159">
        <f t="shared" si="9"/>
        <v>297118536.9605858</v>
      </c>
    </row>
    <row r="6" spans="1:15" s="161" customFormat="1" ht="12.75">
      <c r="A6" s="148">
        <f t="shared" si="0"/>
        <v>40069</v>
      </c>
      <c r="B6" s="149">
        <f>IF(DIAS365('CALCULADORA TIPS Pesos E-11'!$E$6,A6)&lt;0,0,DIAS365('CALCULADORA TIPS Pesos E-11'!$E$6,A6))</f>
        <v>0</v>
      </c>
      <c r="C6" s="150">
        <f>+HLOOKUP('CALCULADORA TIPS Pesos E-11'!$E$4,Tablas!$B$1:$C$181,Flujos!J6+1,FALSE)</f>
        <v>0</v>
      </c>
      <c r="D6" s="151">
        <f t="shared" si="2"/>
        <v>100</v>
      </c>
      <c r="E6" s="152">
        <f t="shared" si="3"/>
        <v>0</v>
      </c>
      <c r="F6" s="152">
        <f>ROUND(D5*ROUND(((1+'CALCULADORA TIPS Pesos E-11'!$C$14)^(1/12)-1),6),6)</f>
        <v>0.8355</v>
      </c>
      <c r="G6" s="152">
        <f t="shared" si="4"/>
        <v>0.8355</v>
      </c>
      <c r="H6" s="153">
        <f>IF($B6=0,0,G6/POWER(1+'CALCULADORA TIPS Pesos E-11'!$F$11,Flujos!$B6/365))</f>
        <v>0</v>
      </c>
      <c r="I6" s="154">
        <f t="shared" si="1"/>
        <v>40069</v>
      </c>
      <c r="J6" s="155">
        <v>4</v>
      </c>
      <c r="K6" s="156">
        <f t="shared" si="5"/>
        <v>123</v>
      </c>
      <c r="L6" s="157">
        <f t="shared" si="6"/>
        <v>35561763849.262215</v>
      </c>
      <c r="M6" s="158">
        <f t="shared" si="7"/>
        <v>0</v>
      </c>
      <c r="N6" s="158">
        <f t="shared" si="8"/>
        <v>297118536.9605858</v>
      </c>
      <c r="O6" s="159">
        <f t="shared" si="9"/>
        <v>297118536.9605858</v>
      </c>
    </row>
    <row r="7" spans="1:15" s="161" customFormat="1" ht="12.75">
      <c r="A7" s="148">
        <f t="shared" si="0"/>
        <v>40099</v>
      </c>
      <c r="B7" s="149">
        <f>IF(DIAS365('CALCULADORA TIPS Pesos E-11'!$E$6,A7)&lt;0,0,DIAS365('CALCULADORA TIPS Pesos E-11'!$E$6,A7))</f>
        <v>0</v>
      </c>
      <c r="C7" s="150">
        <f>+HLOOKUP('CALCULADORA TIPS Pesos E-11'!$E$4,Tablas!$B$1:$C$181,Flujos!J7+1,FALSE)</f>
        <v>0</v>
      </c>
      <c r="D7" s="151">
        <f t="shared" si="2"/>
        <v>100</v>
      </c>
      <c r="E7" s="152">
        <f t="shared" si="3"/>
        <v>0</v>
      </c>
      <c r="F7" s="152">
        <f>ROUND(D6*ROUND(((1+'CALCULADORA TIPS Pesos E-11'!$C$14)^(1/12)-1),6),6)</f>
        <v>0.8355</v>
      </c>
      <c r="G7" s="152">
        <f t="shared" si="4"/>
        <v>0.8355</v>
      </c>
      <c r="H7" s="153">
        <f>IF($B7=0,0,G7/POWER(1+'CALCULADORA TIPS Pesos E-11'!$F$11,Flujos!$B7/365))</f>
        <v>0</v>
      </c>
      <c r="I7" s="154">
        <f t="shared" si="1"/>
        <v>40099</v>
      </c>
      <c r="J7" s="155">
        <v>5</v>
      </c>
      <c r="K7" s="156">
        <f t="shared" si="5"/>
        <v>153</v>
      </c>
      <c r="L7" s="157">
        <f t="shared" si="6"/>
        <v>35561763849.262215</v>
      </c>
      <c r="M7" s="158">
        <f t="shared" si="7"/>
        <v>0</v>
      </c>
      <c r="N7" s="158">
        <f t="shared" si="8"/>
        <v>297118536.9605858</v>
      </c>
      <c r="O7" s="159">
        <f t="shared" si="9"/>
        <v>297118536.9605858</v>
      </c>
    </row>
    <row r="8" spans="1:15" s="175" customFormat="1" ht="12.75">
      <c r="A8" s="163">
        <f t="shared" si="0"/>
        <v>40130</v>
      </c>
      <c r="B8" s="164">
        <f>IF(DIAS365('CALCULADORA TIPS Pesos E-11'!$E$6,A8)&lt;0,0,DIAS365('CALCULADORA TIPS Pesos E-11'!$E$6,A8))</f>
        <v>0</v>
      </c>
      <c r="C8" s="165">
        <f>+HLOOKUP('CALCULADORA TIPS Pesos E-11'!$E$4,Tablas!$B$1:$C$181,Flujos!J8+1,FALSE)</f>
        <v>0</v>
      </c>
      <c r="D8" s="166">
        <f t="shared" si="2"/>
        <v>100</v>
      </c>
      <c r="E8" s="167">
        <f t="shared" si="3"/>
        <v>0</v>
      </c>
      <c r="F8" s="167">
        <f>ROUND(D7*ROUND(((1+'CALCULADORA TIPS Pesos E-11'!$C$14)^(1/12)-1),6),6)</f>
        <v>0.8355</v>
      </c>
      <c r="G8" s="167">
        <f t="shared" si="4"/>
        <v>0.8355</v>
      </c>
      <c r="H8" s="168">
        <f>IF($B8=0,0,G8/POWER(1+'CALCULADORA TIPS Pesos E-11'!$F$11,Flujos!$B8/365))</f>
        <v>0</v>
      </c>
      <c r="I8" s="169">
        <f t="shared" si="1"/>
        <v>40130</v>
      </c>
      <c r="J8" s="170">
        <v>6</v>
      </c>
      <c r="K8" s="171">
        <f t="shared" si="5"/>
        <v>184</v>
      </c>
      <c r="L8" s="172">
        <f t="shared" si="6"/>
        <v>35561763849.262215</v>
      </c>
      <c r="M8" s="173">
        <f t="shared" si="7"/>
        <v>0</v>
      </c>
      <c r="N8" s="173">
        <f t="shared" si="8"/>
        <v>297118536.9605858</v>
      </c>
      <c r="O8" s="174">
        <f t="shared" si="9"/>
        <v>297118536.9605858</v>
      </c>
    </row>
    <row r="9" spans="1:15" s="161" customFormat="1" ht="12.75">
      <c r="A9" s="148">
        <f t="shared" si="0"/>
        <v>40160</v>
      </c>
      <c r="B9" s="149">
        <f>IF(DIAS365('CALCULADORA TIPS Pesos E-11'!$E$6,A9)&lt;0,0,DIAS365('CALCULADORA TIPS Pesos E-11'!$E$6,A9))</f>
        <v>0</v>
      </c>
      <c r="C9" s="150">
        <f>+HLOOKUP('CALCULADORA TIPS Pesos E-11'!$E$4,Tablas!$B$1:$C$181,Flujos!J9+1,FALSE)</f>
        <v>0</v>
      </c>
      <c r="D9" s="151">
        <f t="shared" si="2"/>
        <v>100</v>
      </c>
      <c r="E9" s="152">
        <f t="shared" si="3"/>
        <v>0</v>
      </c>
      <c r="F9" s="152">
        <f>ROUND(D8*ROUND(((1+'CALCULADORA TIPS Pesos E-11'!$C$14)^(1/12)-1),6),6)</f>
        <v>0.8355</v>
      </c>
      <c r="G9" s="152">
        <f t="shared" si="4"/>
        <v>0.8355</v>
      </c>
      <c r="H9" s="153">
        <f>IF($B9=0,0,G9/POWER(1+'CALCULADORA TIPS Pesos E-11'!$F$11,Flujos!$B9/365))</f>
        <v>0</v>
      </c>
      <c r="I9" s="154">
        <f t="shared" si="1"/>
        <v>40160</v>
      </c>
      <c r="J9" s="155">
        <v>7</v>
      </c>
      <c r="K9" s="156">
        <f t="shared" si="5"/>
        <v>214</v>
      </c>
      <c r="L9" s="157">
        <f t="shared" si="6"/>
        <v>35561763849.262215</v>
      </c>
      <c r="M9" s="158">
        <f t="shared" si="7"/>
        <v>0</v>
      </c>
      <c r="N9" s="158">
        <f t="shared" si="8"/>
        <v>297118536.9605858</v>
      </c>
      <c r="O9" s="159">
        <f t="shared" si="9"/>
        <v>297118536.9605858</v>
      </c>
    </row>
    <row r="10" spans="1:15" s="161" customFormat="1" ht="12.75">
      <c r="A10" s="148">
        <f t="shared" si="0"/>
        <v>40191</v>
      </c>
      <c r="B10" s="149">
        <f>IF(DIAS365('CALCULADORA TIPS Pesos E-11'!$E$6,A10)&lt;0,0,DIAS365('CALCULADORA TIPS Pesos E-11'!$E$6,A10))</f>
        <v>0</v>
      </c>
      <c r="C10" s="150">
        <f>+HLOOKUP('CALCULADORA TIPS Pesos E-11'!$E$4,Tablas!$B$1:$C$181,Flujos!J10+1,FALSE)</f>
        <v>0</v>
      </c>
      <c r="D10" s="151">
        <f t="shared" si="2"/>
        <v>100</v>
      </c>
      <c r="E10" s="152">
        <f t="shared" si="3"/>
        <v>0</v>
      </c>
      <c r="F10" s="152">
        <f>ROUND(D9*ROUND(((1+'CALCULADORA TIPS Pesos E-11'!$C$14)^(1/12)-1),6),6)</f>
        <v>0.8355</v>
      </c>
      <c r="G10" s="152">
        <f t="shared" si="4"/>
        <v>0.8355</v>
      </c>
      <c r="H10" s="153">
        <f>IF($B10=0,0,G10/POWER(1+'CALCULADORA TIPS Pesos E-11'!$F$11,Flujos!$B10/365))</f>
        <v>0</v>
      </c>
      <c r="I10" s="154">
        <f t="shared" si="1"/>
        <v>40191</v>
      </c>
      <c r="J10" s="155">
        <v>8</v>
      </c>
      <c r="K10" s="156">
        <f t="shared" si="5"/>
        <v>245</v>
      </c>
      <c r="L10" s="157">
        <f t="shared" si="6"/>
        <v>35561763849.262215</v>
      </c>
      <c r="M10" s="158">
        <f t="shared" si="7"/>
        <v>0</v>
      </c>
      <c r="N10" s="158">
        <f t="shared" si="8"/>
        <v>297118536.9605858</v>
      </c>
      <c r="O10" s="159">
        <f t="shared" si="9"/>
        <v>297118536.9605858</v>
      </c>
    </row>
    <row r="11" spans="1:15" s="161" customFormat="1" ht="12.75">
      <c r="A11" s="148">
        <f t="shared" si="0"/>
        <v>40222</v>
      </c>
      <c r="B11" s="149">
        <f>IF(DIAS365('CALCULADORA TIPS Pesos E-11'!$E$6,A11)&lt;0,0,DIAS365('CALCULADORA TIPS Pesos E-11'!$E$6,A11))</f>
        <v>0</v>
      </c>
      <c r="C11" s="150">
        <f>+HLOOKUP('CALCULADORA TIPS Pesos E-11'!$E$4,Tablas!$B$1:$C$181,Flujos!J11+1,FALSE)</f>
        <v>0</v>
      </c>
      <c r="D11" s="151">
        <f t="shared" si="2"/>
        <v>100</v>
      </c>
      <c r="E11" s="152">
        <f t="shared" si="3"/>
        <v>0</v>
      </c>
      <c r="F11" s="152">
        <f>ROUND(D10*ROUND(((1+'CALCULADORA TIPS Pesos E-11'!$C$14)^(1/12)-1),6),6)</f>
        <v>0.8355</v>
      </c>
      <c r="G11" s="152">
        <f t="shared" si="4"/>
        <v>0.8355</v>
      </c>
      <c r="H11" s="153">
        <f>IF($B11=0,0,G11/POWER(1+'CALCULADORA TIPS Pesos E-11'!$F$11,Flujos!$B11/365))</f>
        <v>0</v>
      </c>
      <c r="I11" s="154">
        <f t="shared" si="1"/>
        <v>40222</v>
      </c>
      <c r="J11" s="155">
        <v>9</v>
      </c>
      <c r="K11" s="156">
        <f t="shared" si="5"/>
        <v>276</v>
      </c>
      <c r="L11" s="157">
        <f t="shared" si="6"/>
        <v>35561763849.262215</v>
      </c>
      <c r="M11" s="158">
        <f t="shared" si="7"/>
        <v>0</v>
      </c>
      <c r="N11" s="158">
        <f t="shared" si="8"/>
        <v>297118536.9605858</v>
      </c>
      <c r="O11" s="159">
        <f t="shared" si="9"/>
        <v>297118536.9605858</v>
      </c>
    </row>
    <row r="12" spans="1:15" s="161" customFormat="1" ht="12.75">
      <c r="A12" s="148">
        <f t="shared" si="0"/>
        <v>40250</v>
      </c>
      <c r="B12" s="149">
        <f>IF(DIAS365('CALCULADORA TIPS Pesos E-11'!$E$6,A12)&lt;0,0,DIAS365('CALCULADORA TIPS Pesos E-11'!$E$6,A12))</f>
        <v>0</v>
      </c>
      <c r="C12" s="150">
        <f>+HLOOKUP('CALCULADORA TIPS Pesos E-11'!$E$4,Tablas!$B$1:$C$181,Flujos!J12+1,FALSE)</f>
        <v>0</v>
      </c>
      <c r="D12" s="151">
        <f t="shared" si="2"/>
        <v>100</v>
      </c>
      <c r="E12" s="152">
        <f t="shared" si="3"/>
        <v>0</v>
      </c>
      <c r="F12" s="152">
        <f>ROUND(D11*ROUND(((1+'CALCULADORA TIPS Pesos E-11'!$C$14)^(1/12)-1),6),6)</f>
        <v>0.8355</v>
      </c>
      <c r="G12" s="152">
        <f t="shared" si="4"/>
        <v>0.8355</v>
      </c>
      <c r="H12" s="153">
        <f>IF($B12=0,0,G12/POWER(1+'CALCULADORA TIPS Pesos E-11'!$F$11,Flujos!$B12/365))</f>
        <v>0</v>
      </c>
      <c r="I12" s="154">
        <f t="shared" si="1"/>
        <v>40250</v>
      </c>
      <c r="J12" s="155">
        <v>10</v>
      </c>
      <c r="K12" s="156">
        <f t="shared" si="5"/>
        <v>304</v>
      </c>
      <c r="L12" s="157">
        <f t="shared" si="6"/>
        <v>35561763849.262215</v>
      </c>
      <c r="M12" s="158">
        <f t="shared" si="7"/>
        <v>0</v>
      </c>
      <c r="N12" s="158">
        <f t="shared" si="8"/>
        <v>297118536.9605858</v>
      </c>
      <c r="O12" s="159">
        <f t="shared" si="9"/>
        <v>297118536.9605858</v>
      </c>
    </row>
    <row r="13" spans="1:15" s="161" customFormat="1" ht="12.75">
      <c r="A13" s="148">
        <f t="shared" si="0"/>
        <v>40281</v>
      </c>
      <c r="B13" s="149">
        <f>IF(DIAS365('CALCULADORA TIPS Pesos E-11'!$E$6,A13)&lt;0,0,DIAS365('CALCULADORA TIPS Pesos E-11'!$E$6,A13))</f>
        <v>0</v>
      </c>
      <c r="C13" s="150">
        <f>+HLOOKUP('CALCULADORA TIPS Pesos E-11'!$E$4,Tablas!$B$1:$C$181,Flujos!J13+1,FALSE)</f>
        <v>0</v>
      </c>
      <c r="D13" s="151">
        <f t="shared" si="2"/>
        <v>100</v>
      </c>
      <c r="E13" s="152">
        <f t="shared" si="3"/>
        <v>0</v>
      </c>
      <c r="F13" s="152">
        <f>ROUND(D12*ROUND(((1+'CALCULADORA TIPS Pesos E-11'!$C$14)^(1/12)-1),6),6)</f>
        <v>0.8355</v>
      </c>
      <c r="G13" s="152">
        <f t="shared" si="4"/>
        <v>0.8355</v>
      </c>
      <c r="H13" s="153">
        <f>IF($B13=0,0,G13/POWER(1+'CALCULADORA TIPS Pesos E-11'!$F$11,Flujos!$B13/365))</f>
        <v>0</v>
      </c>
      <c r="I13" s="154">
        <f t="shared" si="1"/>
        <v>40281</v>
      </c>
      <c r="J13" s="155">
        <v>11</v>
      </c>
      <c r="K13" s="156">
        <f t="shared" si="5"/>
        <v>335</v>
      </c>
      <c r="L13" s="157">
        <f t="shared" si="6"/>
        <v>35561763849.262215</v>
      </c>
      <c r="M13" s="158">
        <f t="shared" si="7"/>
        <v>0</v>
      </c>
      <c r="N13" s="158">
        <f t="shared" si="8"/>
        <v>297118536.9605858</v>
      </c>
      <c r="O13" s="159">
        <f t="shared" si="9"/>
        <v>297118536.9605858</v>
      </c>
    </row>
    <row r="14" spans="1:15" s="161" customFormat="1" ht="12.75">
      <c r="A14" s="148">
        <f t="shared" si="0"/>
        <v>40311</v>
      </c>
      <c r="B14" s="149">
        <f>IF(DIAS365('CALCULADORA TIPS Pesos E-11'!$E$6,A14)&lt;0,0,DIAS365('CALCULADORA TIPS Pesos E-11'!$E$6,A14))</f>
        <v>0</v>
      </c>
      <c r="C14" s="150">
        <f>+HLOOKUP('CALCULADORA TIPS Pesos E-11'!$E$4,Tablas!$B$1:$C$181,Flujos!J14+1,FALSE)</f>
        <v>0</v>
      </c>
      <c r="D14" s="151">
        <f t="shared" si="2"/>
        <v>100</v>
      </c>
      <c r="E14" s="152">
        <f t="shared" si="3"/>
        <v>0</v>
      </c>
      <c r="F14" s="152">
        <f>ROUND(D13*ROUND(((1+'CALCULADORA TIPS Pesos E-11'!$C$14)^(1/12)-1),6),6)</f>
        <v>0.8355</v>
      </c>
      <c r="G14" s="152">
        <f t="shared" si="4"/>
        <v>0.8355</v>
      </c>
      <c r="H14" s="153">
        <f>IF($B14=0,0,G14/POWER(1+'CALCULADORA TIPS Pesos E-11'!$F$11,Flujos!$B14/365))</f>
        <v>0</v>
      </c>
      <c r="I14" s="154">
        <f t="shared" si="1"/>
        <v>40311</v>
      </c>
      <c r="J14" s="155">
        <v>12</v>
      </c>
      <c r="K14" s="156">
        <f t="shared" si="5"/>
        <v>365</v>
      </c>
      <c r="L14" s="157">
        <f t="shared" si="6"/>
        <v>35561763849.262215</v>
      </c>
      <c r="M14" s="158">
        <f t="shared" si="7"/>
        <v>0</v>
      </c>
      <c r="N14" s="158">
        <f t="shared" si="8"/>
        <v>297118536.9605858</v>
      </c>
      <c r="O14" s="159">
        <f t="shared" si="9"/>
        <v>297118536.9605858</v>
      </c>
    </row>
    <row r="15" spans="1:15" s="161" customFormat="1" ht="12.75">
      <c r="A15" s="148">
        <f t="shared" si="0"/>
        <v>40342</v>
      </c>
      <c r="B15" s="149">
        <f>IF(DIAS365('CALCULADORA TIPS Pesos E-11'!$E$6,A15)&lt;0,0,DIAS365('CALCULADORA TIPS Pesos E-11'!$E$6,A15))</f>
        <v>0</v>
      </c>
      <c r="C15" s="150">
        <f>+HLOOKUP('CALCULADORA TIPS Pesos E-11'!$E$4,Tablas!$B$1:$C$181,Flujos!J15+1,FALSE)</f>
        <v>0</v>
      </c>
      <c r="D15" s="151">
        <f t="shared" si="2"/>
        <v>100</v>
      </c>
      <c r="E15" s="152">
        <f t="shared" si="3"/>
        <v>0</v>
      </c>
      <c r="F15" s="152">
        <f>ROUND(D14*ROUND(((1+'CALCULADORA TIPS Pesos E-11'!$C$14)^(1/12)-1),6),6)</f>
        <v>0.8355</v>
      </c>
      <c r="G15" s="152">
        <f t="shared" si="4"/>
        <v>0.8355</v>
      </c>
      <c r="H15" s="153">
        <f>IF($B15=0,0,G15/POWER(1+'CALCULADORA TIPS Pesos E-11'!$F$11,Flujos!$B15/365))</f>
        <v>0</v>
      </c>
      <c r="I15" s="154">
        <f t="shared" si="1"/>
        <v>40342</v>
      </c>
      <c r="J15" s="155">
        <v>13</v>
      </c>
      <c r="K15" s="156">
        <f t="shared" si="5"/>
        <v>396</v>
      </c>
      <c r="L15" s="157">
        <f t="shared" si="6"/>
        <v>35561763849.262215</v>
      </c>
      <c r="M15" s="158">
        <f t="shared" si="7"/>
        <v>0</v>
      </c>
      <c r="N15" s="158">
        <f t="shared" si="8"/>
        <v>297118536.9605858</v>
      </c>
      <c r="O15" s="159">
        <f t="shared" si="9"/>
        <v>297118536.9605858</v>
      </c>
    </row>
    <row r="16" spans="1:15" s="161" customFormat="1" ht="12.75">
      <c r="A16" s="148">
        <f t="shared" si="0"/>
        <v>40372</v>
      </c>
      <c r="B16" s="149">
        <f>IF(DIAS365('CALCULADORA TIPS Pesos E-11'!$E$6,A16)&lt;0,0,DIAS365('CALCULADORA TIPS Pesos E-11'!$E$6,A16))</f>
        <v>0</v>
      </c>
      <c r="C16" s="177">
        <f>+HLOOKUP('CALCULADORA TIPS Pesos E-11'!$E$4,Tablas!$B$1:$C$181,Flujos!J16+1,FALSE)</f>
        <v>0</v>
      </c>
      <c r="D16" s="178">
        <f t="shared" si="2"/>
        <v>100</v>
      </c>
      <c r="E16" s="179">
        <f t="shared" si="3"/>
        <v>0</v>
      </c>
      <c r="F16" s="179">
        <f>ROUND(D15*ROUND(((1+'CALCULADORA TIPS Pesos E-11'!$C$14)^(1/12)-1),6),6)</f>
        <v>0.8355</v>
      </c>
      <c r="G16" s="179">
        <f t="shared" si="4"/>
        <v>0.8355</v>
      </c>
      <c r="H16" s="153">
        <f>IF($B16=0,0,G16/POWER(1+'CALCULADORA TIPS Pesos E-11'!$F$11,Flujos!$B16/365))</f>
        <v>0</v>
      </c>
      <c r="I16" s="154">
        <f t="shared" si="1"/>
        <v>40372</v>
      </c>
      <c r="J16" s="155">
        <v>14</v>
      </c>
      <c r="K16" s="156">
        <f t="shared" si="5"/>
        <v>426</v>
      </c>
      <c r="L16" s="157">
        <f t="shared" si="6"/>
        <v>35561763849.262215</v>
      </c>
      <c r="M16" s="158">
        <f t="shared" si="7"/>
        <v>0</v>
      </c>
      <c r="N16" s="158">
        <f t="shared" si="8"/>
        <v>297118536.9605858</v>
      </c>
      <c r="O16" s="159">
        <f t="shared" si="9"/>
        <v>297118536.9605858</v>
      </c>
    </row>
    <row r="17" spans="1:15" s="161" customFormat="1" ht="13.5" customHeight="1">
      <c r="A17" s="148">
        <f t="shared" si="0"/>
        <v>40403</v>
      </c>
      <c r="B17" s="149">
        <f>IF(DIAS365('CALCULADORA TIPS Pesos E-11'!$E$6,A17)&lt;0,0,DIAS365('CALCULADORA TIPS Pesos E-11'!$E$6,A17))</f>
        <v>0</v>
      </c>
      <c r="C17" s="180">
        <f>+HLOOKUP('CALCULADORA TIPS Pesos E-11'!$E$4,Tablas!$B$1:$C$181,Flujos!J17+1,FALSE)</f>
        <v>0</v>
      </c>
      <c r="D17" s="181">
        <f t="shared" si="2"/>
        <v>100</v>
      </c>
      <c r="E17" s="182">
        <f t="shared" si="3"/>
        <v>0</v>
      </c>
      <c r="F17" s="182">
        <f>ROUND(D16*ROUND(((1+'CALCULADORA TIPS Pesos E-11'!$C$14)^(1/12)-1),6),6)</f>
        <v>0.8355</v>
      </c>
      <c r="G17" s="182">
        <f t="shared" si="4"/>
        <v>0.8355</v>
      </c>
      <c r="H17" s="153">
        <f>IF($B17=0,0,G17/POWER(1+'CALCULADORA TIPS Pesos E-11'!$F$11,Flujos!$B17/365))</f>
        <v>0</v>
      </c>
      <c r="I17" s="154">
        <f t="shared" si="1"/>
        <v>40403</v>
      </c>
      <c r="J17" s="155">
        <v>15</v>
      </c>
      <c r="K17" s="156">
        <f t="shared" si="5"/>
        <v>457</v>
      </c>
      <c r="L17" s="157">
        <f t="shared" si="6"/>
        <v>35561763849.262215</v>
      </c>
      <c r="M17" s="158">
        <f t="shared" si="7"/>
        <v>0</v>
      </c>
      <c r="N17" s="158">
        <f t="shared" si="8"/>
        <v>297118536.9605858</v>
      </c>
      <c r="O17" s="159">
        <f t="shared" si="9"/>
        <v>297118536.9605858</v>
      </c>
    </row>
    <row r="18" spans="1:15" s="161" customFormat="1" ht="12.75">
      <c r="A18" s="148">
        <f t="shared" si="0"/>
        <v>40434</v>
      </c>
      <c r="B18" s="149">
        <f>IF(DIAS365('CALCULADORA TIPS Pesos E-11'!$E$6,A18)&lt;0,0,DIAS365('CALCULADORA TIPS Pesos E-11'!$E$6,A18))</f>
        <v>0</v>
      </c>
      <c r="C18" s="183">
        <f>+HLOOKUP('CALCULADORA TIPS Pesos E-11'!$E$4,Tablas!$B$1:$C$181,Flujos!J18+1,FALSE)</f>
        <v>0</v>
      </c>
      <c r="D18" s="184">
        <f t="shared" si="2"/>
        <v>100</v>
      </c>
      <c r="E18" s="185">
        <f t="shared" si="3"/>
        <v>0</v>
      </c>
      <c r="F18" s="185">
        <f>ROUND(D17*ROUND(((1+'CALCULADORA TIPS Pesos E-11'!$C$14)^(1/12)-1),6),6)</f>
        <v>0.8355</v>
      </c>
      <c r="G18" s="185">
        <f t="shared" si="4"/>
        <v>0.8355</v>
      </c>
      <c r="H18" s="153">
        <f>IF($B18=0,0,G18/POWER(1+'CALCULADORA TIPS Pesos E-11'!$F$11,Flujos!$B18/365))</f>
        <v>0</v>
      </c>
      <c r="I18" s="154">
        <f t="shared" si="1"/>
        <v>40434</v>
      </c>
      <c r="J18" s="155">
        <v>16</v>
      </c>
      <c r="K18" s="156">
        <f t="shared" si="5"/>
        <v>488</v>
      </c>
      <c r="L18" s="157">
        <f t="shared" si="6"/>
        <v>35561763849.262215</v>
      </c>
      <c r="M18" s="158">
        <f t="shared" si="7"/>
        <v>0</v>
      </c>
      <c r="N18" s="158">
        <f t="shared" si="8"/>
        <v>297118536.9605858</v>
      </c>
      <c r="O18" s="159">
        <f t="shared" si="9"/>
        <v>297118536.9605858</v>
      </c>
    </row>
    <row r="19" spans="1:15" s="161" customFormat="1" ht="12.75">
      <c r="A19" s="148">
        <f t="shared" si="0"/>
        <v>40464</v>
      </c>
      <c r="B19" s="149">
        <f>IF(DIAS365('CALCULADORA TIPS Pesos E-11'!$E$6,A19)&lt;0,0,DIAS365('CALCULADORA TIPS Pesos E-11'!$E$6,A19))</f>
        <v>0</v>
      </c>
      <c r="C19" s="183">
        <f>+HLOOKUP('CALCULADORA TIPS Pesos E-11'!$E$4,Tablas!$B$1:$C$181,Flujos!J19+1,FALSE)</f>
        <v>0</v>
      </c>
      <c r="D19" s="184">
        <f t="shared" si="2"/>
        <v>100</v>
      </c>
      <c r="E19" s="185">
        <f t="shared" si="3"/>
        <v>0</v>
      </c>
      <c r="F19" s="185">
        <f>ROUND(D18*ROUND(((1+'CALCULADORA TIPS Pesos E-11'!$C$14)^(1/12)-1),6),6)</f>
        <v>0.8355</v>
      </c>
      <c r="G19" s="185">
        <f t="shared" si="4"/>
        <v>0.8355</v>
      </c>
      <c r="H19" s="153">
        <f>IF($B19=0,0,G19/POWER(1+'CALCULADORA TIPS Pesos E-11'!$F$11,Flujos!$B19/365))</f>
        <v>0</v>
      </c>
      <c r="I19" s="154">
        <f t="shared" si="1"/>
        <v>40464</v>
      </c>
      <c r="J19" s="155">
        <v>17</v>
      </c>
      <c r="K19" s="156">
        <f t="shared" si="5"/>
        <v>518</v>
      </c>
      <c r="L19" s="157">
        <f t="shared" si="6"/>
        <v>35561763849.262215</v>
      </c>
      <c r="M19" s="158">
        <f t="shared" si="7"/>
        <v>0</v>
      </c>
      <c r="N19" s="158">
        <f t="shared" si="8"/>
        <v>297118536.9605858</v>
      </c>
      <c r="O19" s="159">
        <f t="shared" si="9"/>
        <v>297118536.9605858</v>
      </c>
    </row>
    <row r="20" spans="1:15" s="161" customFormat="1" ht="12.75">
      <c r="A20" s="148">
        <f t="shared" si="0"/>
        <v>40495</v>
      </c>
      <c r="B20" s="149">
        <f>IF(DIAS365('CALCULADORA TIPS Pesos E-11'!$E$6,A20)&lt;0,0,DIAS365('CALCULADORA TIPS Pesos E-11'!$E$6,A20))</f>
        <v>0</v>
      </c>
      <c r="C20" s="186">
        <f>+HLOOKUP('CALCULADORA TIPS Pesos E-11'!$E$4,Tablas!$B$1:$C$181,Flujos!J20+1,FALSE)</f>
        <v>0</v>
      </c>
      <c r="D20" s="187">
        <f t="shared" si="2"/>
        <v>100</v>
      </c>
      <c r="E20" s="188">
        <f t="shared" si="3"/>
        <v>0</v>
      </c>
      <c r="F20" s="188">
        <f>ROUND(D19*ROUND(((1+'CALCULADORA TIPS Pesos E-11'!$C$14)^(1/12)-1),6),6)</f>
        <v>0.8355</v>
      </c>
      <c r="G20" s="188">
        <f t="shared" si="4"/>
        <v>0.8355</v>
      </c>
      <c r="H20" s="153">
        <f>IF($B20=0,0,G20/POWER(1+'CALCULADORA TIPS Pesos E-11'!$F$11,Flujos!$B20/365))</f>
        <v>0</v>
      </c>
      <c r="I20" s="154">
        <f t="shared" si="1"/>
        <v>40495</v>
      </c>
      <c r="J20" s="155">
        <v>18</v>
      </c>
      <c r="K20" s="156">
        <f t="shared" si="5"/>
        <v>549</v>
      </c>
      <c r="L20" s="157">
        <f t="shared" si="6"/>
        <v>35561763849.262215</v>
      </c>
      <c r="M20" s="158">
        <f t="shared" si="7"/>
        <v>0</v>
      </c>
      <c r="N20" s="158">
        <f t="shared" si="8"/>
        <v>297118536.9605858</v>
      </c>
      <c r="O20" s="159">
        <f t="shared" si="9"/>
        <v>297118536.9605858</v>
      </c>
    </row>
    <row r="21" spans="1:15" s="161" customFormat="1" ht="12.75">
      <c r="A21" s="148">
        <f t="shared" si="0"/>
        <v>40525</v>
      </c>
      <c r="B21" s="149">
        <f>IF(DIAS365('CALCULADORA TIPS Pesos E-11'!$E$6,A21)&lt;0,0,DIAS365('CALCULADORA TIPS Pesos E-11'!$E$6,A21))</f>
        <v>0</v>
      </c>
      <c r="C21" s="189">
        <f>+HLOOKUP('CALCULADORA TIPS Pesos E-11'!$E$4,Tablas!$B$1:$C$181,Flujos!J21+1,FALSE)</f>
        <v>0</v>
      </c>
      <c r="D21" s="190">
        <f t="shared" si="2"/>
        <v>100</v>
      </c>
      <c r="E21" s="191">
        <f t="shared" si="3"/>
        <v>0</v>
      </c>
      <c r="F21" s="191">
        <f>ROUND(D20*ROUND(((1+'CALCULADORA TIPS Pesos E-11'!$C$14)^(1/12)-1),6),6)</f>
        <v>0.8355</v>
      </c>
      <c r="G21" s="191">
        <f t="shared" si="4"/>
        <v>0.8355</v>
      </c>
      <c r="H21" s="153">
        <f>IF($B21=0,0,G21/POWER(1+'CALCULADORA TIPS Pesos E-11'!$F$11,Flujos!$B21/365))</f>
        <v>0</v>
      </c>
      <c r="I21" s="154">
        <f t="shared" si="1"/>
        <v>40525</v>
      </c>
      <c r="J21" s="155">
        <v>19</v>
      </c>
      <c r="K21" s="156">
        <f t="shared" si="5"/>
        <v>579</v>
      </c>
      <c r="L21" s="157">
        <f t="shared" si="6"/>
        <v>35561763849.262215</v>
      </c>
      <c r="M21" s="158">
        <f t="shared" si="7"/>
        <v>0</v>
      </c>
      <c r="N21" s="158">
        <f t="shared" si="8"/>
        <v>297118536.9605858</v>
      </c>
      <c r="O21" s="159">
        <f t="shared" si="9"/>
        <v>297118536.9605858</v>
      </c>
    </row>
    <row r="22" spans="1:15" s="161" customFormat="1" ht="12.75">
      <c r="A22" s="148">
        <f t="shared" si="0"/>
        <v>40556</v>
      </c>
      <c r="B22" s="149">
        <f>IF(DIAS365('CALCULADORA TIPS Pesos E-11'!$E$6,A22)&lt;0,0,DIAS365('CALCULADORA TIPS Pesos E-11'!$E$6,A22))</f>
        <v>0</v>
      </c>
      <c r="C22" s="192">
        <f>+HLOOKUP('CALCULADORA TIPS Pesos E-11'!$E$4,Tablas!$B$1:$C$181,Flujos!J22+1,FALSE)</f>
        <v>0</v>
      </c>
      <c r="D22" s="193">
        <f t="shared" si="2"/>
        <v>100</v>
      </c>
      <c r="E22" s="194">
        <f t="shared" si="3"/>
        <v>0</v>
      </c>
      <c r="F22" s="194">
        <f>ROUND(D21*ROUND(((1+'CALCULADORA TIPS Pesos E-11'!$C$14)^(1/12)-1),6),6)</f>
        <v>0.8355</v>
      </c>
      <c r="G22" s="194">
        <f t="shared" si="4"/>
        <v>0.8355</v>
      </c>
      <c r="H22" s="153">
        <f>IF($B22=0,0,G22/POWER(1+'CALCULADORA TIPS Pesos E-11'!$F$11,Flujos!$B22/365))</f>
        <v>0</v>
      </c>
      <c r="I22" s="154">
        <f t="shared" si="1"/>
        <v>40556</v>
      </c>
      <c r="J22" s="155">
        <v>20</v>
      </c>
      <c r="K22" s="156">
        <f t="shared" si="5"/>
        <v>610</v>
      </c>
      <c r="L22" s="157">
        <f t="shared" si="6"/>
        <v>35561763849.262215</v>
      </c>
      <c r="M22" s="158">
        <f t="shared" si="7"/>
        <v>0</v>
      </c>
      <c r="N22" s="158">
        <f t="shared" si="8"/>
        <v>297118536.9605858</v>
      </c>
      <c r="O22" s="159">
        <f t="shared" si="9"/>
        <v>297118536.9605858</v>
      </c>
    </row>
    <row r="23" spans="1:15" s="161" customFormat="1" ht="12.75">
      <c r="A23" s="148">
        <f t="shared" si="0"/>
        <v>40587</v>
      </c>
      <c r="B23" s="149">
        <f>IF(DIAS365('CALCULADORA TIPS Pesos E-11'!$E$6,A23)&lt;0,0,DIAS365('CALCULADORA TIPS Pesos E-11'!$E$6,A23))</f>
        <v>0</v>
      </c>
      <c r="C23" s="192">
        <f>+HLOOKUP('CALCULADORA TIPS Pesos E-11'!$E$4,Tablas!$B$1:$C$181,Flujos!J23+1,FALSE)</f>
        <v>0</v>
      </c>
      <c r="D23" s="193">
        <f t="shared" si="2"/>
        <v>100</v>
      </c>
      <c r="E23" s="194">
        <f t="shared" si="3"/>
        <v>0</v>
      </c>
      <c r="F23" s="194">
        <f>ROUND(D22*ROUND(((1+'CALCULADORA TIPS Pesos E-11'!$C$14)^(1/12)-1),6),6)</f>
        <v>0.8355</v>
      </c>
      <c r="G23" s="194">
        <f t="shared" si="4"/>
        <v>0.8355</v>
      </c>
      <c r="H23" s="153">
        <f>IF($B23=0,0,G23/POWER(1+'CALCULADORA TIPS Pesos E-11'!$F$11,Flujos!$B23/365))</f>
        <v>0</v>
      </c>
      <c r="I23" s="154">
        <f t="shared" si="1"/>
        <v>40587</v>
      </c>
      <c r="J23" s="155">
        <v>21</v>
      </c>
      <c r="K23" s="156">
        <f t="shared" si="5"/>
        <v>641</v>
      </c>
      <c r="L23" s="157">
        <f t="shared" si="6"/>
        <v>35561763849.262215</v>
      </c>
      <c r="M23" s="158">
        <f t="shared" si="7"/>
        <v>0</v>
      </c>
      <c r="N23" s="158">
        <f t="shared" si="8"/>
        <v>297118536.9605858</v>
      </c>
      <c r="O23" s="159">
        <f t="shared" si="9"/>
        <v>297118536.9605858</v>
      </c>
    </row>
    <row r="24" spans="1:15" s="161" customFormat="1" ht="12.75">
      <c r="A24" s="148">
        <f t="shared" si="0"/>
        <v>40615</v>
      </c>
      <c r="B24" s="149">
        <f>IF(DIAS365('CALCULADORA TIPS Pesos E-11'!$E$6,A24)&lt;0,0,DIAS365('CALCULADORA TIPS Pesos E-11'!$E$6,A24))</f>
        <v>0</v>
      </c>
      <c r="C24" s="195">
        <f>+HLOOKUP('CALCULADORA TIPS Pesos E-11'!$E$4,Tablas!$B$1:$C$181,Flujos!J24+1,FALSE)</f>
        <v>0</v>
      </c>
      <c r="D24" s="196">
        <f t="shared" si="2"/>
        <v>100</v>
      </c>
      <c r="E24" s="197">
        <f t="shared" si="3"/>
        <v>0</v>
      </c>
      <c r="F24" s="197">
        <f>ROUND(D23*ROUND(((1+'CALCULADORA TIPS Pesos E-11'!$C$14)^(1/12)-1),6),6)</f>
        <v>0.8355</v>
      </c>
      <c r="G24" s="197">
        <f t="shared" si="4"/>
        <v>0.8355</v>
      </c>
      <c r="H24" s="153">
        <f>IF($B24=0,0,G24/POWER(1+'CALCULADORA TIPS Pesos E-11'!$F$11,Flujos!$B24/365))</f>
        <v>0</v>
      </c>
      <c r="I24" s="154">
        <f t="shared" si="1"/>
        <v>40615</v>
      </c>
      <c r="J24" s="155">
        <v>22</v>
      </c>
      <c r="K24" s="156">
        <f t="shared" si="5"/>
        <v>669</v>
      </c>
      <c r="L24" s="157">
        <f t="shared" si="6"/>
        <v>35561763849.262215</v>
      </c>
      <c r="M24" s="158">
        <f t="shared" si="7"/>
        <v>0</v>
      </c>
      <c r="N24" s="158">
        <f t="shared" si="8"/>
        <v>297118536.9605858</v>
      </c>
      <c r="O24" s="159">
        <f t="shared" si="9"/>
        <v>297118536.9605858</v>
      </c>
    </row>
    <row r="25" spans="1:15" s="161" customFormat="1" ht="12.75">
      <c r="A25" s="148">
        <f t="shared" si="0"/>
        <v>40646</v>
      </c>
      <c r="B25" s="149">
        <f>IF(DIAS365('CALCULADORA TIPS Pesos E-11'!$E$6,A25)&lt;0,0,DIAS365('CALCULADORA TIPS Pesos E-11'!$E$6,A25))</f>
        <v>0</v>
      </c>
      <c r="C25" s="198">
        <f>+HLOOKUP('CALCULADORA TIPS Pesos E-11'!$E$4,Tablas!$B$1:$C$181,Flujos!J25+1,FALSE)</f>
        <v>0</v>
      </c>
      <c r="D25" s="199">
        <f t="shared" si="2"/>
        <v>100</v>
      </c>
      <c r="E25" s="200">
        <f t="shared" si="3"/>
        <v>0</v>
      </c>
      <c r="F25" s="200">
        <f>ROUND(D24*ROUND(((1+'CALCULADORA TIPS Pesos E-11'!$C$14)^(1/12)-1),6),6)</f>
        <v>0.8355</v>
      </c>
      <c r="G25" s="200">
        <f t="shared" si="4"/>
        <v>0.8355</v>
      </c>
      <c r="H25" s="153">
        <f>IF($B25=0,0,G25/POWER(1+'CALCULADORA TIPS Pesos E-11'!$F$11,Flujos!$B25/365))</f>
        <v>0</v>
      </c>
      <c r="I25" s="154">
        <f t="shared" si="1"/>
        <v>40646</v>
      </c>
      <c r="J25" s="155">
        <v>23</v>
      </c>
      <c r="K25" s="156">
        <f t="shared" si="5"/>
        <v>700</v>
      </c>
      <c r="L25" s="157">
        <f t="shared" si="6"/>
        <v>35561763849.262215</v>
      </c>
      <c r="M25" s="158">
        <f t="shared" si="7"/>
        <v>0</v>
      </c>
      <c r="N25" s="158">
        <f t="shared" si="8"/>
        <v>297118536.9605858</v>
      </c>
      <c r="O25" s="159">
        <f t="shared" si="9"/>
        <v>297118536.9605858</v>
      </c>
    </row>
    <row r="26" spans="1:15" s="161" customFormat="1" ht="12.75">
      <c r="A26" s="148">
        <f t="shared" si="0"/>
        <v>40676</v>
      </c>
      <c r="B26" s="149">
        <f>IF(DIAS365('CALCULADORA TIPS Pesos E-11'!$E$6,A26)&lt;0,0,DIAS365('CALCULADORA TIPS Pesos E-11'!$E$6,A26))</f>
        <v>0</v>
      </c>
      <c r="C26" s="201">
        <f>+HLOOKUP('CALCULADORA TIPS Pesos E-11'!$E$4,Tablas!$B$1:$C$181,Flujos!J26+1,FALSE)</f>
        <v>0</v>
      </c>
      <c r="D26" s="202">
        <f t="shared" si="2"/>
        <v>100</v>
      </c>
      <c r="E26" s="203">
        <f t="shared" si="3"/>
        <v>0</v>
      </c>
      <c r="F26" s="203">
        <f>ROUND(D25*ROUND(((1+'CALCULADORA TIPS Pesos E-11'!$C$14)^(1/12)-1),6),6)</f>
        <v>0.8355</v>
      </c>
      <c r="G26" s="203">
        <f t="shared" si="4"/>
        <v>0.8355</v>
      </c>
      <c r="H26" s="153">
        <f>IF($B26=0,0,G26/POWER(1+'CALCULADORA TIPS Pesos E-11'!$F$11,Flujos!$B26/365))</f>
        <v>0</v>
      </c>
      <c r="I26" s="154">
        <f t="shared" si="1"/>
        <v>40676</v>
      </c>
      <c r="J26" s="155">
        <v>24</v>
      </c>
      <c r="K26" s="156">
        <f t="shared" si="5"/>
        <v>730</v>
      </c>
      <c r="L26" s="157">
        <f t="shared" si="6"/>
        <v>35561763849.262215</v>
      </c>
      <c r="M26" s="158">
        <f t="shared" si="7"/>
        <v>0</v>
      </c>
      <c r="N26" s="158">
        <f t="shared" si="8"/>
        <v>297118536.9605858</v>
      </c>
      <c r="O26" s="159">
        <f t="shared" si="9"/>
        <v>297118536.9605858</v>
      </c>
    </row>
    <row r="27" spans="1:15" s="161" customFormat="1" ht="12.75">
      <c r="A27" s="148">
        <f t="shared" si="0"/>
        <v>40707</v>
      </c>
      <c r="B27" s="149">
        <f>IF(DIAS365('CALCULADORA TIPS Pesos E-11'!$E$6,A27)&lt;0,0,DIAS365('CALCULADORA TIPS Pesos E-11'!$E$6,A27))</f>
        <v>0</v>
      </c>
      <c r="C27" s="204">
        <f>+HLOOKUP('CALCULADORA TIPS Pesos E-11'!$E$4,Tablas!$B$1:$C$181,Flujos!J27+1,FALSE)</f>
        <v>0</v>
      </c>
      <c r="D27" s="205">
        <f t="shared" si="2"/>
        <v>100</v>
      </c>
      <c r="E27" s="206">
        <f t="shared" si="3"/>
        <v>0</v>
      </c>
      <c r="F27" s="206">
        <f>ROUND(D26*ROUND(((1+'CALCULADORA TIPS Pesos E-11'!$C$14)^(1/12)-1),6),6)</f>
        <v>0.8355</v>
      </c>
      <c r="G27" s="206">
        <f t="shared" si="4"/>
        <v>0.8355</v>
      </c>
      <c r="H27" s="153">
        <f>IF($B27=0,0,G27/POWER(1+'CALCULADORA TIPS Pesos E-11'!$F$11,Flujos!$B27/365))</f>
        <v>0</v>
      </c>
      <c r="I27" s="154">
        <f t="shared" si="1"/>
        <v>40707</v>
      </c>
      <c r="J27" s="155">
        <v>25</v>
      </c>
      <c r="K27" s="156">
        <f t="shared" si="5"/>
        <v>761</v>
      </c>
      <c r="L27" s="157">
        <f t="shared" si="6"/>
        <v>35561763849.262215</v>
      </c>
      <c r="M27" s="158">
        <f t="shared" si="7"/>
        <v>0</v>
      </c>
      <c r="N27" s="158">
        <f t="shared" si="8"/>
        <v>297118536.9605858</v>
      </c>
      <c r="O27" s="159">
        <f t="shared" si="9"/>
        <v>297118536.9605858</v>
      </c>
    </row>
    <row r="28" spans="1:15" s="161" customFormat="1" ht="12.75">
      <c r="A28" s="148">
        <f t="shared" si="0"/>
        <v>40737</v>
      </c>
      <c r="B28" s="149">
        <f>IF(DIAS365('CALCULADORA TIPS Pesos E-11'!$E$6,A28)&lt;0,0,DIAS365('CALCULADORA TIPS Pesos E-11'!$E$6,A28))</f>
        <v>0</v>
      </c>
      <c r="C28" s="207">
        <f>+HLOOKUP('CALCULADORA TIPS Pesos E-11'!$E$4,Tablas!$B$1:$C$181,Flujos!J28+1,FALSE)</f>
        <v>0</v>
      </c>
      <c r="D28" s="208">
        <f t="shared" si="2"/>
        <v>100</v>
      </c>
      <c r="E28" s="209">
        <f t="shared" si="3"/>
        <v>0</v>
      </c>
      <c r="F28" s="209">
        <f>ROUND(D27*ROUND(((1+'CALCULADORA TIPS Pesos E-11'!$C$14)^(1/12)-1),6),6)</f>
        <v>0.8355</v>
      </c>
      <c r="G28" s="209">
        <f t="shared" si="4"/>
        <v>0.8355</v>
      </c>
      <c r="H28" s="153">
        <f>IF($B28=0,0,G28/POWER(1+'CALCULADORA TIPS Pesos E-11'!$F$11,Flujos!$B28/365))</f>
        <v>0</v>
      </c>
      <c r="I28" s="154">
        <f t="shared" si="1"/>
        <v>40737</v>
      </c>
      <c r="J28" s="155">
        <v>26</v>
      </c>
      <c r="K28" s="156">
        <f t="shared" si="5"/>
        <v>791</v>
      </c>
      <c r="L28" s="157">
        <f t="shared" si="6"/>
        <v>35561763849.262215</v>
      </c>
      <c r="M28" s="158">
        <f t="shared" si="7"/>
        <v>0</v>
      </c>
      <c r="N28" s="158">
        <f t="shared" si="8"/>
        <v>297118536.9605858</v>
      </c>
      <c r="O28" s="159">
        <f t="shared" si="9"/>
        <v>297118536.9605858</v>
      </c>
    </row>
    <row r="29" spans="1:15" s="161" customFormat="1" ht="12.75">
      <c r="A29" s="148">
        <f t="shared" si="0"/>
        <v>40768</v>
      </c>
      <c r="B29" s="149">
        <f>IF(DIAS365('CALCULADORA TIPS Pesos E-11'!$E$6,A29)&lt;0,0,DIAS365('CALCULADORA TIPS Pesos E-11'!$E$6,A29))</f>
        <v>0</v>
      </c>
      <c r="C29" s="210">
        <f>+HLOOKUP('CALCULADORA TIPS Pesos E-11'!$E$4,Tablas!$B$1:$C$181,Flujos!J29+1,FALSE)</f>
        <v>0</v>
      </c>
      <c r="D29" s="211">
        <f t="shared" si="2"/>
        <v>100</v>
      </c>
      <c r="E29" s="212">
        <f t="shared" si="3"/>
        <v>0</v>
      </c>
      <c r="F29" s="212">
        <f>ROUND(D28*ROUND(((1+'CALCULADORA TIPS Pesos E-11'!$C$14)^(1/12)-1),6),6)</f>
        <v>0.8355</v>
      </c>
      <c r="G29" s="212">
        <f t="shared" si="4"/>
        <v>0.8355</v>
      </c>
      <c r="H29" s="153">
        <f>IF($B29=0,0,G29/POWER(1+'CALCULADORA TIPS Pesos E-11'!$F$11,Flujos!$B29/365))</f>
        <v>0</v>
      </c>
      <c r="I29" s="154">
        <f t="shared" si="1"/>
        <v>40768</v>
      </c>
      <c r="J29" s="155">
        <v>27</v>
      </c>
      <c r="K29" s="156">
        <f t="shared" si="5"/>
        <v>822</v>
      </c>
      <c r="L29" s="157">
        <f t="shared" si="6"/>
        <v>35561763849.262215</v>
      </c>
      <c r="M29" s="158">
        <f t="shared" si="7"/>
        <v>0</v>
      </c>
      <c r="N29" s="158">
        <f t="shared" si="8"/>
        <v>297118536.9605858</v>
      </c>
      <c r="O29" s="159">
        <f t="shared" si="9"/>
        <v>297118536.9605858</v>
      </c>
    </row>
    <row r="30" spans="1:15" s="161" customFormat="1" ht="12.75">
      <c r="A30" s="148">
        <f t="shared" si="0"/>
        <v>40799</v>
      </c>
      <c r="B30" s="149">
        <f>IF(DIAS365('CALCULADORA TIPS Pesos E-11'!$E$6,A30)&lt;0,0,DIAS365('CALCULADORA TIPS Pesos E-11'!$E$6,A30))</f>
        <v>0</v>
      </c>
      <c r="C30" s="213">
        <f>+HLOOKUP('CALCULADORA TIPS Pesos E-11'!$E$4,Tablas!$B$1:$C$181,Flujos!J30+1,FALSE)</f>
        <v>0</v>
      </c>
      <c r="D30" s="214">
        <f t="shared" si="2"/>
        <v>100</v>
      </c>
      <c r="E30" s="215">
        <f t="shared" si="3"/>
        <v>0</v>
      </c>
      <c r="F30" s="215">
        <f>ROUND(D29*ROUND(((1+'CALCULADORA TIPS Pesos E-11'!$C$14)^(1/12)-1),6),6)</f>
        <v>0.8355</v>
      </c>
      <c r="G30" s="215">
        <f t="shared" si="4"/>
        <v>0.8355</v>
      </c>
      <c r="H30" s="153">
        <f>IF($B30=0,0,G30/POWER(1+'CALCULADORA TIPS Pesos E-11'!$F$11,Flujos!$B30/365))</f>
        <v>0</v>
      </c>
      <c r="I30" s="154">
        <f t="shared" si="1"/>
        <v>40799</v>
      </c>
      <c r="J30" s="155">
        <v>28</v>
      </c>
      <c r="K30" s="156">
        <f t="shared" si="5"/>
        <v>853</v>
      </c>
      <c r="L30" s="157">
        <f t="shared" si="6"/>
        <v>35561763849.262215</v>
      </c>
      <c r="M30" s="158">
        <f t="shared" si="7"/>
        <v>0</v>
      </c>
      <c r="N30" s="158">
        <f t="shared" si="8"/>
        <v>297118536.9605858</v>
      </c>
      <c r="O30" s="159">
        <f t="shared" si="9"/>
        <v>297118536.9605858</v>
      </c>
    </row>
    <row r="31" spans="1:15" s="161" customFormat="1" ht="12.75">
      <c r="A31" s="148">
        <f t="shared" si="0"/>
        <v>40829</v>
      </c>
      <c r="B31" s="149">
        <f>IF(DIAS365('CALCULADORA TIPS Pesos E-11'!$E$6,A31)&lt;0,0,DIAS365('CALCULADORA TIPS Pesos E-11'!$E$6,A31))</f>
        <v>0</v>
      </c>
      <c r="C31" s="216">
        <f>+HLOOKUP('CALCULADORA TIPS Pesos E-11'!$E$4,Tablas!$B$1:$C$181,Flujos!J31+1,FALSE)</f>
        <v>0</v>
      </c>
      <c r="D31" s="217">
        <f t="shared" si="2"/>
        <v>100</v>
      </c>
      <c r="E31" s="218">
        <f t="shared" si="3"/>
        <v>0</v>
      </c>
      <c r="F31" s="218">
        <f>ROUND(D30*ROUND(((1+'CALCULADORA TIPS Pesos E-11'!$C$14)^(1/12)-1),6),6)</f>
        <v>0.8355</v>
      </c>
      <c r="G31" s="218">
        <f t="shared" si="4"/>
        <v>0.8355</v>
      </c>
      <c r="H31" s="153">
        <f>IF($B31=0,0,G31/POWER(1+'CALCULADORA TIPS Pesos E-11'!$F$11,Flujos!$B31/365))</f>
        <v>0</v>
      </c>
      <c r="I31" s="154">
        <f t="shared" si="1"/>
        <v>40829</v>
      </c>
      <c r="J31" s="155">
        <v>29</v>
      </c>
      <c r="K31" s="156">
        <f t="shared" si="5"/>
        <v>883</v>
      </c>
      <c r="L31" s="157">
        <f t="shared" si="6"/>
        <v>35561763849.262215</v>
      </c>
      <c r="M31" s="158">
        <f t="shared" si="7"/>
        <v>0</v>
      </c>
      <c r="N31" s="158">
        <f t="shared" si="8"/>
        <v>297118536.9605858</v>
      </c>
      <c r="O31" s="159">
        <f t="shared" si="9"/>
        <v>297118536.9605858</v>
      </c>
    </row>
    <row r="32" spans="1:15" s="161" customFormat="1" ht="12.75">
      <c r="A32" s="148">
        <f t="shared" si="0"/>
        <v>40860</v>
      </c>
      <c r="B32" s="149">
        <f>IF(DIAS365('CALCULADORA TIPS Pesos E-11'!$E$6,A32)&lt;0,0,DIAS365('CALCULADORA TIPS Pesos E-11'!$E$6,A32))</f>
        <v>0</v>
      </c>
      <c r="C32" s="219">
        <f>+HLOOKUP('CALCULADORA TIPS Pesos E-11'!$E$4,Tablas!$B$1:$C$181,Flujos!J32+1,FALSE)</f>
        <v>0.02718619</v>
      </c>
      <c r="D32" s="220">
        <f t="shared" si="2"/>
        <v>97.281381</v>
      </c>
      <c r="E32" s="221">
        <f t="shared" si="3"/>
        <v>2.718619</v>
      </c>
      <c r="F32" s="221">
        <f>ROUND(D31*ROUND(((1+'CALCULADORA TIPS Pesos E-11'!$C$14)^(1/12)-1),6),6)</f>
        <v>0.8355</v>
      </c>
      <c r="G32" s="221">
        <f t="shared" si="4"/>
        <v>3.554119</v>
      </c>
      <c r="H32" s="153">
        <f>IF($B32=0,0,G32/POWER(1+'CALCULADORA TIPS Pesos E-11'!$F$11,Flujos!$B32/365))</f>
        <v>0</v>
      </c>
      <c r="I32" s="154">
        <f t="shared" si="1"/>
        <v>40860</v>
      </c>
      <c r="J32" s="155">
        <v>30</v>
      </c>
      <c r="K32" s="156">
        <f t="shared" si="5"/>
        <v>914</v>
      </c>
      <c r="L32" s="157">
        <f t="shared" si="6"/>
        <v>34594974980.52104</v>
      </c>
      <c r="M32" s="158">
        <f t="shared" si="7"/>
        <v>966788868.7411739</v>
      </c>
      <c r="N32" s="158">
        <f t="shared" si="8"/>
        <v>297118536.9605858</v>
      </c>
      <c r="O32" s="159">
        <f t="shared" si="9"/>
        <v>1263907405.7017596</v>
      </c>
    </row>
    <row r="33" spans="1:15" s="161" customFormat="1" ht="12.75">
      <c r="A33" s="148">
        <f t="shared" si="0"/>
        <v>40890</v>
      </c>
      <c r="B33" s="149">
        <f>IF(DIAS365('CALCULADORA TIPS Pesos E-11'!$E$6,A33)&lt;0,0,DIAS365('CALCULADORA TIPS Pesos E-11'!$E$6,A33))</f>
        <v>0</v>
      </c>
      <c r="C33" s="222">
        <f>+HLOOKUP('CALCULADORA TIPS Pesos E-11'!$E$4,Tablas!$B$1:$C$181,Flujos!J33+1,FALSE)</f>
        <v>0.04341103</v>
      </c>
      <c r="D33" s="223">
        <f t="shared" si="2"/>
        <v>92.940278</v>
      </c>
      <c r="E33" s="224">
        <f t="shared" si="3"/>
        <v>4.341103</v>
      </c>
      <c r="F33" s="224">
        <f>ROUND(D32*ROUND(((1+'CALCULADORA TIPS Pesos E-11'!$C$14)^(1/12)-1),6),6)</f>
        <v>0.812786</v>
      </c>
      <c r="G33" s="224">
        <f t="shared" si="4"/>
        <v>5.153889</v>
      </c>
      <c r="H33" s="153">
        <f>IF($B33=0,0,G33/POWER(1+'CALCULADORA TIPS Pesos E-11'!$F$11,Flujos!$B33/365))</f>
        <v>0</v>
      </c>
      <c r="I33" s="154">
        <f t="shared" si="1"/>
        <v>40890</v>
      </c>
      <c r="J33" s="155">
        <v>31</v>
      </c>
      <c r="K33" s="156">
        <f t="shared" si="5"/>
        <v>944</v>
      </c>
      <c r="L33" s="157">
        <f t="shared" si="6"/>
        <v>33051202183.207806</v>
      </c>
      <c r="M33" s="158">
        <f t="shared" si="7"/>
        <v>1543772797.3132377</v>
      </c>
      <c r="N33" s="158">
        <f t="shared" si="8"/>
        <v>289041015.9622533</v>
      </c>
      <c r="O33" s="159">
        <f t="shared" si="9"/>
        <v>1832813813.275491</v>
      </c>
    </row>
    <row r="34" spans="1:15" s="161" customFormat="1" ht="12.75">
      <c r="A34" s="148">
        <f t="shared" si="0"/>
        <v>40921</v>
      </c>
      <c r="B34" s="149">
        <f>IF(DIAS365('CALCULADORA TIPS Pesos E-11'!$E$6,A34)&lt;0,0,DIAS365('CALCULADORA TIPS Pesos E-11'!$E$6,A34))</f>
        <v>0</v>
      </c>
      <c r="C34" s="225">
        <f>+HLOOKUP('CALCULADORA TIPS Pesos E-11'!$E$4,Tablas!$B$1:$C$181,Flujos!J34+1,FALSE)</f>
        <v>0.04538846</v>
      </c>
      <c r="D34" s="226">
        <f t="shared" si="2"/>
        <v>88.401432</v>
      </c>
      <c r="E34" s="227">
        <f t="shared" si="3"/>
        <v>4.538846</v>
      </c>
      <c r="F34" s="227">
        <f>ROUND(D33*ROUND(((1+'CALCULADORA TIPS Pesos E-11'!$C$14)^(1/12)-1),6),6)</f>
        <v>0.776516</v>
      </c>
      <c r="G34" s="227">
        <f t="shared" si="4"/>
        <v>5.315362</v>
      </c>
      <c r="H34" s="153">
        <f>IF($B34=0,0,G34/POWER(1+'CALCULADORA TIPS Pesos E-11'!$F$11,Flujos!$B34/365))</f>
        <v>0</v>
      </c>
      <c r="I34" s="154">
        <f t="shared" si="1"/>
        <v>40921</v>
      </c>
      <c r="J34" s="155">
        <v>32</v>
      </c>
      <c r="K34" s="156">
        <f t="shared" si="5"/>
        <v>975</v>
      </c>
      <c r="L34" s="157">
        <f t="shared" si="6"/>
        <v>31437108487.206123</v>
      </c>
      <c r="M34" s="158">
        <f t="shared" si="7"/>
        <v>1614093696.001684</v>
      </c>
      <c r="N34" s="158">
        <f t="shared" si="8"/>
        <v>276142794.2407012</v>
      </c>
      <c r="O34" s="159">
        <f t="shared" si="9"/>
        <v>1890236490.2423851</v>
      </c>
    </row>
    <row r="35" spans="1:15" s="161" customFormat="1" ht="12.75">
      <c r="A35" s="148">
        <f aca="true" t="shared" si="10" ref="A35:A66">_XLL.FECHA.MES(A34,1)</f>
        <v>40952</v>
      </c>
      <c r="B35" s="149">
        <f>IF(DIAS365('CALCULADORA TIPS Pesos E-11'!$E$6,A35)&lt;0,0,DIAS365('CALCULADORA TIPS Pesos E-11'!$E$6,A35))</f>
        <v>0</v>
      </c>
      <c r="C35" s="228">
        <f>+HLOOKUP('CALCULADORA TIPS Pesos E-11'!$E$4,Tablas!$B$1:$C$181,Flujos!J35+1,FALSE)</f>
        <v>0.03897381</v>
      </c>
      <c r="D35" s="229">
        <f t="shared" si="2"/>
        <v>84.504051</v>
      </c>
      <c r="E35" s="230">
        <f t="shared" si="3"/>
        <v>3.897381</v>
      </c>
      <c r="F35" s="230">
        <f>ROUND(D34*ROUND(((1+'CALCULADORA TIPS Pesos E-11'!$C$14)^(1/12)-1),6),6)</f>
        <v>0.738594</v>
      </c>
      <c r="G35" s="230">
        <f t="shared" si="4"/>
        <v>4.635975</v>
      </c>
      <c r="H35" s="153">
        <f>IF($B35=0,0,G35/POWER(1+'CALCULADORA TIPS Pesos E-11'!$F$11,Flujos!$B35/365))</f>
        <v>0</v>
      </c>
      <c r="I35" s="154">
        <f t="shared" si="1"/>
        <v>40952</v>
      </c>
      <c r="J35" s="155">
        <v>33</v>
      </c>
      <c r="K35" s="156">
        <f t="shared" si="5"/>
        <v>1006</v>
      </c>
      <c r="L35" s="157">
        <f t="shared" si="6"/>
        <v>30051131059.68011</v>
      </c>
      <c r="M35" s="158">
        <f t="shared" si="7"/>
        <v>1385977427.526014</v>
      </c>
      <c r="N35" s="158">
        <f t="shared" si="8"/>
        <v>262657041.41060716</v>
      </c>
      <c r="O35" s="159">
        <f t="shared" si="9"/>
        <v>1648634468.9366212</v>
      </c>
    </row>
    <row r="36" spans="1:15" s="161" customFormat="1" ht="12.75">
      <c r="A36" s="148">
        <f t="shared" si="10"/>
        <v>40981</v>
      </c>
      <c r="B36" s="149">
        <f>IF(DIAS365('CALCULADORA TIPS Pesos E-11'!$E$6,A36)&lt;0,0,DIAS365('CALCULADORA TIPS Pesos E-11'!$E$6,A36))</f>
        <v>0</v>
      </c>
      <c r="C36" s="231">
        <f>+HLOOKUP('CALCULADORA TIPS Pesos E-11'!$E$4,Tablas!$B$1:$C$181,Flujos!J36+1,FALSE)</f>
        <v>0.06079499</v>
      </c>
      <c r="D36" s="232">
        <f t="shared" si="2"/>
        <v>78.424552</v>
      </c>
      <c r="E36" s="233">
        <f t="shared" si="3"/>
        <v>6.079499</v>
      </c>
      <c r="F36" s="233">
        <f>ROUND(D35*ROUND(((1+'CALCULADORA TIPS Pesos E-11'!$C$14)^(1/12)-1),6),6)</f>
        <v>0.706031</v>
      </c>
      <c r="G36" s="233">
        <f t="shared" si="4"/>
        <v>6.7855300000000005</v>
      </c>
      <c r="H36" s="153">
        <f>IF($B36=0,0,G36/POWER(1+'CALCULADORA TIPS Pesos E-11'!$F$11,Flujos!$B36/365))</f>
        <v>0</v>
      </c>
      <c r="I36" s="154">
        <f t="shared" si="1"/>
        <v>40981</v>
      </c>
      <c r="J36" s="155">
        <v>34</v>
      </c>
      <c r="K36" s="156">
        <f t="shared" si="5"/>
        <v>1034</v>
      </c>
      <c r="L36" s="157">
        <f t="shared" si="6"/>
        <v>27889153982.081852</v>
      </c>
      <c r="M36" s="158">
        <f t="shared" si="7"/>
        <v>2161977077.598258</v>
      </c>
      <c r="N36" s="158">
        <f t="shared" si="8"/>
        <v>251077200.0036273</v>
      </c>
      <c r="O36" s="159">
        <f t="shared" si="9"/>
        <v>2413054277.6018853</v>
      </c>
    </row>
    <row r="37" spans="1:15" s="161" customFormat="1" ht="12.75">
      <c r="A37" s="148">
        <f t="shared" si="10"/>
        <v>41012</v>
      </c>
      <c r="B37" s="149">
        <f>IF(DIAS365('CALCULADORA TIPS Pesos E-11'!$E$6,A37)&lt;0,0,DIAS365('CALCULADORA TIPS Pesos E-11'!$E$6,A37))</f>
        <v>0</v>
      </c>
      <c r="C37" s="234">
        <f>+HLOOKUP('CALCULADORA TIPS Pesos E-11'!$E$4,Tablas!$B$1:$C$181,Flujos!J37+1,FALSE)</f>
        <v>0.04681521</v>
      </c>
      <c r="D37" s="235">
        <f t="shared" si="2"/>
        <v>73.743031</v>
      </c>
      <c r="E37" s="236">
        <f t="shared" si="3"/>
        <v>4.681521</v>
      </c>
      <c r="F37" s="236">
        <f>ROUND(D36*ROUND(((1+'CALCULADORA TIPS Pesos E-11'!$C$14)^(1/12)-1),6),6)</f>
        <v>0.655237</v>
      </c>
      <c r="G37" s="236">
        <f t="shared" si="4"/>
        <v>5.336758</v>
      </c>
      <c r="H37" s="153">
        <f>IF($B37=0,0,G37/POWER(1+'CALCULADORA TIPS Pesos E-11'!$F$11,Flujos!$B37/365))</f>
        <v>0</v>
      </c>
      <c r="I37" s="154">
        <f t="shared" si="1"/>
        <v>41012</v>
      </c>
      <c r="J37" s="155">
        <v>35</v>
      </c>
      <c r="K37" s="156">
        <f t="shared" si="5"/>
        <v>1065</v>
      </c>
      <c r="L37" s="157">
        <f t="shared" si="6"/>
        <v>26224322539.508232</v>
      </c>
      <c r="M37" s="158">
        <f t="shared" si="7"/>
        <v>1664831442.5736191</v>
      </c>
      <c r="N37" s="158">
        <f t="shared" si="8"/>
        <v>233013881.52029386</v>
      </c>
      <c r="O37" s="159">
        <f t="shared" si="9"/>
        <v>1897845324.093913</v>
      </c>
    </row>
    <row r="38" spans="1:15" s="161" customFormat="1" ht="12.75">
      <c r="A38" s="148">
        <f t="shared" si="10"/>
        <v>41042</v>
      </c>
      <c r="B38" s="149">
        <f>IF(DIAS365('CALCULADORA TIPS Pesos E-11'!$E$6,A38)&lt;0,0,DIAS365('CALCULADORA TIPS Pesos E-11'!$E$6,A38))</f>
        <v>0</v>
      </c>
      <c r="C38" s="237">
        <f>+HLOOKUP('CALCULADORA TIPS Pesos E-11'!$E$4,Tablas!$B$1:$C$181,Flujos!J38+1,FALSE)</f>
        <v>0.04387295</v>
      </c>
      <c r="D38" s="238">
        <f t="shared" si="2"/>
        <v>69.355736</v>
      </c>
      <c r="E38" s="239">
        <f t="shared" si="3"/>
        <v>4.387295</v>
      </c>
      <c r="F38" s="239">
        <f>ROUND(D37*ROUND(((1+'CALCULADORA TIPS Pesos E-11'!$C$14)^(1/12)-1),6),6)</f>
        <v>0.616123</v>
      </c>
      <c r="G38" s="239">
        <f t="shared" si="4"/>
        <v>5.003418</v>
      </c>
      <c r="H38" s="153">
        <f>IF($B38=0,0,G38/POWER(1+'CALCULADORA TIPS Pesos E-11'!$F$11,Flujos!$B38/365))</f>
        <v>0</v>
      </c>
      <c r="I38" s="154">
        <f t="shared" si="1"/>
        <v>41042</v>
      </c>
      <c r="J38" s="155">
        <v>36</v>
      </c>
      <c r="K38" s="156">
        <f t="shared" si="5"/>
        <v>1095</v>
      </c>
      <c r="L38" s="157">
        <f t="shared" si="6"/>
        <v>24664123052.237743</v>
      </c>
      <c r="M38" s="158">
        <f t="shared" si="7"/>
        <v>1560199487.2704887</v>
      </c>
      <c r="N38" s="158">
        <f t="shared" si="8"/>
        <v>219104214.81759128</v>
      </c>
      <c r="O38" s="159">
        <f t="shared" si="9"/>
        <v>1779303702.08808</v>
      </c>
    </row>
    <row r="39" spans="1:15" s="161" customFormat="1" ht="12.75">
      <c r="A39" s="148">
        <f t="shared" si="10"/>
        <v>41073</v>
      </c>
      <c r="B39" s="149">
        <f>IF(DIAS365('CALCULADORA TIPS Pesos E-11'!$E$6,A39)&lt;0,0,DIAS365('CALCULADORA TIPS Pesos E-11'!$E$6,A39))</f>
        <v>0</v>
      </c>
      <c r="C39" s="240">
        <f>+HLOOKUP('CALCULADORA TIPS Pesos E-11'!$E$4,Tablas!$B$1:$C$181,Flujos!J39+1,FALSE)</f>
        <v>0.04902516</v>
      </c>
      <c r="D39" s="241">
        <f t="shared" si="2"/>
        <v>64.45322</v>
      </c>
      <c r="E39" s="242">
        <f t="shared" si="3"/>
        <v>4.902516</v>
      </c>
      <c r="F39" s="242">
        <f>ROUND(D38*ROUND(((1+'CALCULADORA TIPS Pesos E-11'!$C$14)^(1/12)-1),6),6)</f>
        <v>0.579467</v>
      </c>
      <c r="G39" s="242">
        <f t="shared" si="4"/>
        <v>5.4819830000000005</v>
      </c>
      <c r="H39" s="153">
        <f>IF($B39=0,0,G39/POWER(1+'CALCULADORA TIPS Pesos E-11'!$F$11,Flujos!$B39/365))</f>
        <v>0</v>
      </c>
      <c r="I39" s="154">
        <f t="shared" si="1"/>
        <v>41073</v>
      </c>
      <c r="J39" s="155">
        <v>37</v>
      </c>
      <c r="K39" s="156">
        <f t="shared" si="5"/>
        <v>1126</v>
      </c>
      <c r="L39" s="157">
        <f t="shared" si="6"/>
        <v>22920701889.645447</v>
      </c>
      <c r="M39" s="158">
        <f t="shared" si="7"/>
        <v>1743421162.592296</v>
      </c>
      <c r="N39" s="158">
        <f t="shared" si="8"/>
        <v>206068748.10144633</v>
      </c>
      <c r="O39" s="159">
        <f t="shared" si="9"/>
        <v>1949489910.6937423</v>
      </c>
    </row>
    <row r="40" spans="1:15" s="161" customFormat="1" ht="12.75">
      <c r="A40" s="148">
        <f t="shared" si="10"/>
        <v>41103</v>
      </c>
      <c r="B40" s="149">
        <f>IF(DIAS365('CALCULADORA TIPS Pesos E-11'!$E$6,A40)&lt;0,0,DIAS365('CALCULADORA TIPS Pesos E-11'!$E$6,A40))</f>
        <v>0</v>
      </c>
      <c r="C40" s="252">
        <f>+HLOOKUP('CALCULADORA TIPS Pesos E-11'!$E$4,Tablas!$B$1:$C$181,Flujos!J40+1,FALSE)</f>
        <v>0.04531415</v>
      </c>
      <c r="D40" s="253">
        <f t="shared" si="2"/>
        <v>59.921805</v>
      </c>
      <c r="E40" s="254">
        <f t="shared" si="3"/>
        <v>4.531415</v>
      </c>
      <c r="F40" s="254">
        <f>ROUND(D39*ROUND(((1+'CALCULADORA TIPS Pesos E-11'!$C$14)^(1/12)-1),6),6)</f>
        <v>0.538507</v>
      </c>
      <c r="G40" s="254">
        <f t="shared" si="4"/>
        <v>5.069922</v>
      </c>
      <c r="H40" s="153">
        <f>IF($B40=0,0,G40/POWER(1+'CALCULADORA TIPS Pesos E-11'!$F$11,Flujos!$B40/365))</f>
        <v>0</v>
      </c>
      <c r="I40" s="154">
        <f t="shared" si="1"/>
        <v>41103</v>
      </c>
      <c r="J40" s="155">
        <v>38</v>
      </c>
      <c r="K40" s="156">
        <f t="shared" si="5"/>
        <v>1156</v>
      </c>
      <c r="L40" s="157">
        <f t="shared" si="6"/>
        <v>21309250788.315403</v>
      </c>
      <c r="M40" s="158">
        <f t="shared" si="7"/>
        <v>1611451101.3300452</v>
      </c>
      <c r="N40" s="158">
        <f t="shared" si="8"/>
        <v>191502464.2879877</v>
      </c>
      <c r="O40" s="159">
        <f t="shared" si="9"/>
        <v>1802953565.618033</v>
      </c>
    </row>
    <row r="41" spans="1:15" s="161" customFormat="1" ht="12.75">
      <c r="A41" s="148">
        <f t="shared" si="10"/>
        <v>41134</v>
      </c>
      <c r="B41" s="149">
        <f>IF(DIAS365('CALCULADORA TIPS Pesos E-11'!$E$6,A41)&lt;0,0,DIAS365('CALCULADORA TIPS Pesos E-11'!$E$6,A41))</f>
        <v>0</v>
      </c>
      <c r="C41" s="281">
        <f>+HLOOKUP('CALCULADORA TIPS Pesos E-11'!$E$4,Tablas!$B$1:$C$181,Flujos!J41+1,FALSE)</f>
        <v>0.04071745</v>
      </c>
      <c r="D41" s="282">
        <f t="shared" si="2"/>
        <v>55.85006</v>
      </c>
      <c r="E41" s="283">
        <f t="shared" si="3"/>
        <v>4.071745</v>
      </c>
      <c r="F41" s="283">
        <f>ROUND(D40*ROUND(((1+'CALCULADORA TIPS Pesos E-11'!$C$14)^(1/12)-1),6),6)</f>
        <v>0.500647</v>
      </c>
      <c r="G41" s="283">
        <f t="shared" si="4"/>
        <v>4.572392</v>
      </c>
      <c r="H41" s="153">
        <f>IF($B41=0,0,G41/POWER(1+'CALCULADORA TIPS Pesos E-11'!$F$11,Flujos!$B41/365))</f>
        <v>0</v>
      </c>
      <c r="I41" s="154">
        <f t="shared" si="1"/>
        <v>41134</v>
      </c>
      <c r="J41" s="155">
        <v>39</v>
      </c>
      <c r="K41" s="156">
        <f t="shared" si="5"/>
        <v>1187</v>
      </c>
      <c r="L41" s="157">
        <f t="shared" si="6"/>
        <v>19861266446.87126</v>
      </c>
      <c r="M41" s="158">
        <f t="shared" si="7"/>
        <v>1447984341.4441419</v>
      </c>
      <c r="N41" s="158">
        <f t="shared" si="8"/>
        <v>178038790.33637518</v>
      </c>
      <c r="O41" s="159">
        <f t="shared" si="9"/>
        <v>1626023131.780517</v>
      </c>
    </row>
    <row r="42" spans="1:15" s="161" customFormat="1" ht="12.75">
      <c r="A42" s="148">
        <f t="shared" si="10"/>
        <v>41165</v>
      </c>
      <c r="B42" s="149">
        <f>IF(DIAS365('CALCULADORA TIPS Pesos E-11'!$E$6,A42)&lt;0,0,DIAS365('CALCULADORA TIPS Pesos E-11'!$E$6,A42))</f>
        <v>0</v>
      </c>
      <c r="C42" s="284">
        <f>+HLOOKUP('CALCULADORA TIPS Pesos E-11'!$E$4,Tablas!$B$1:$C$181,Flujos!J42+1,FALSE)</f>
        <v>0.05152687</v>
      </c>
      <c r="D42" s="285">
        <f t="shared" si="2"/>
        <v>50.697373</v>
      </c>
      <c r="E42" s="286">
        <f t="shared" si="3"/>
        <v>5.152687</v>
      </c>
      <c r="F42" s="286">
        <f>ROUND(D41*ROUND(((1+'CALCULADORA TIPS Pesos E-11'!$C$14)^(1/12)-1),6),6)</f>
        <v>0.466627</v>
      </c>
      <c r="G42" s="286">
        <f t="shared" si="4"/>
        <v>5.619314</v>
      </c>
      <c r="H42" s="153">
        <f>IF($B42=0,0,G42/POWER(1+'CALCULADORA TIPS Pesos E-11'!$F$11,Flujos!$B42/365))</f>
        <v>0</v>
      </c>
      <c r="I42" s="154">
        <f t="shared" si="1"/>
        <v>41165</v>
      </c>
      <c r="J42" s="155">
        <v>40</v>
      </c>
      <c r="K42" s="156">
        <f t="shared" si="5"/>
        <v>1218</v>
      </c>
      <c r="L42" s="157">
        <f t="shared" si="6"/>
        <v>18028880064.039627</v>
      </c>
      <c r="M42" s="158">
        <f t="shared" si="7"/>
        <v>1832386382.8316338</v>
      </c>
      <c r="N42" s="158">
        <f t="shared" si="8"/>
        <v>165940881.1636094</v>
      </c>
      <c r="O42" s="159">
        <f t="shared" si="9"/>
        <v>1998327263.995243</v>
      </c>
    </row>
    <row r="43" spans="1:15" s="161" customFormat="1" ht="12.75">
      <c r="A43" s="148">
        <f t="shared" si="10"/>
        <v>41195</v>
      </c>
      <c r="B43" s="149">
        <f>IF(DIAS365('CALCULADORA TIPS Pesos E-11'!$E$6,A43)&lt;0,0,DIAS365('CALCULADORA TIPS Pesos E-11'!$E$6,A43))</f>
        <v>0</v>
      </c>
      <c r="C43" s="287">
        <f>+HLOOKUP('CALCULADORA TIPS Pesos E-11'!$E$4,Tablas!$B$1:$C$181,Flujos!J43+1,FALSE)</f>
        <v>0.0442531</v>
      </c>
      <c r="D43" s="288">
        <f t="shared" si="2"/>
        <v>46.272063</v>
      </c>
      <c r="E43" s="289">
        <f t="shared" si="3"/>
        <v>4.42531</v>
      </c>
      <c r="F43" s="289">
        <f>ROUND(D42*ROUND(((1+'CALCULADORA TIPS Pesos E-11'!$C$14)^(1/12)-1),6),6)</f>
        <v>0.423577</v>
      </c>
      <c r="G43" s="289">
        <f t="shared" si="4"/>
        <v>4.8488869999999995</v>
      </c>
      <c r="H43" s="153">
        <f>IF($B43=0,0,G43/POWER(1+'CALCULADORA TIPS Pesos E-11'!$F$11,Flujos!$B43/365))</f>
        <v>0</v>
      </c>
      <c r="I43" s="154">
        <f t="shared" si="1"/>
        <v>41195</v>
      </c>
      <c r="J43" s="155">
        <v>41</v>
      </c>
      <c r="K43" s="156">
        <f t="shared" si="5"/>
        <v>1248</v>
      </c>
      <c r="L43" s="157">
        <f t="shared" si="6"/>
        <v>16455161772.241842</v>
      </c>
      <c r="M43" s="158">
        <f t="shared" si="7"/>
        <v>1573718291.7977855</v>
      </c>
      <c r="N43" s="158">
        <f t="shared" si="8"/>
        <v>150631292.93505108</v>
      </c>
      <c r="O43" s="159">
        <f t="shared" si="9"/>
        <v>1724349584.7328367</v>
      </c>
    </row>
    <row r="44" spans="1:15" s="161" customFormat="1" ht="12.75">
      <c r="A44" s="148">
        <f t="shared" si="10"/>
        <v>41226</v>
      </c>
      <c r="B44" s="149">
        <f>IF(DIAS365('CALCULADORA TIPS Pesos E-11'!$E$6,A44)&lt;0,0,DIAS365('CALCULADORA TIPS Pesos E-11'!$E$6,A44))</f>
        <v>0</v>
      </c>
      <c r="C44" s="290">
        <f>+HLOOKUP('CALCULADORA TIPS Pesos E-11'!$E$4,Tablas!$B$1:$C$181,Flujos!J44+1,FALSE)</f>
        <v>0.03483242</v>
      </c>
      <c r="D44" s="291">
        <f t="shared" si="2"/>
        <v>42.788821</v>
      </c>
      <c r="E44" s="292">
        <f t="shared" si="3"/>
        <v>3.483242</v>
      </c>
      <c r="F44" s="292">
        <f>ROUND(D43*ROUND(((1+'CALCULADORA TIPS Pesos E-11'!$C$14)^(1/12)-1),6),6)</f>
        <v>0.386603</v>
      </c>
      <c r="G44" s="292">
        <f t="shared" si="4"/>
        <v>3.869845</v>
      </c>
      <c r="H44" s="153">
        <f>IF($B44=0,0,G44/POWER(1+'CALCULADORA TIPS Pesos E-11'!$F$11,Flujos!$B44/365))</f>
        <v>0</v>
      </c>
      <c r="I44" s="154">
        <f t="shared" si="1"/>
        <v>41226</v>
      </c>
      <c r="J44" s="155">
        <v>42</v>
      </c>
      <c r="K44" s="156">
        <f t="shared" si="5"/>
        <v>1279</v>
      </c>
      <c r="L44" s="157">
        <f t="shared" si="6"/>
        <v>15216459477.903524</v>
      </c>
      <c r="M44" s="158">
        <f t="shared" si="7"/>
        <v>1238702294.3383183</v>
      </c>
      <c r="N44" s="158">
        <f t="shared" si="8"/>
        <v>137482876.60708058</v>
      </c>
      <c r="O44" s="159">
        <f t="shared" si="9"/>
        <v>1376185170.9453988</v>
      </c>
    </row>
    <row r="45" spans="1:15" s="161" customFormat="1" ht="12.75">
      <c r="A45" s="148">
        <f t="shared" si="10"/>
        <v>41256</v>
      </c>
      <c r="B45" s="149">
        <f>IF(DIAS365('CALCULADORA TIPS Pesos E-11'!$E$6,A45)&lt;0,0,DIAS365('CALCULADORA TIPS Pesos E-11'!$E$6,A45))</f>
        <v>0</v>
      </c>
      <c r="C45" s="293">
        <f>+HLOOKUP('CALCULADORA TIPS Pesos E-11'!$E$4,Tablas!$B$1:$C$181,Flujos!J45+1,FALSE)</f>
        <v>0.05490163</v>
      </c>
      <c r="D45" s="294">
        <f t="shared" si="2"/>
        <v>37.298658</v>
      </c>
      <c r="E45" s="295">
        <f t="shared" si="3"/>
        <v>5.490163</v>
      </c>
      <c r="F45" s="295">
        <f>ROUND(D44*ROUND(((1+'CALCULADORA TIPS Pesos E-11'!$C$14)^(1/12)-1),6),6)</f>
        <v>0.357501</v>
      </c>
      <c r="G45" s="295">
        <f t="shared" si="4"/>
        <v>5.847664</v>
      </c>
      <c r="H45" s="153">
        <f>IF($B45=0,0,G45/POWER(1+'CALCULADORA TIPS Pesos E-11'!$F$11,Flujos!$B45/365))</f>
        <v>0</v>
      </c>
      <c r="I45" s="154">
        <f t="shared" si="1"/>
        <v>41256</v>
      </c>
      <c r="J45" s="155">
        <v>43</v>
      </c>
      <c r="K45" s="156">
        <f t="shared" si="5"/>
        <v>1309</v>
      </c>
      <c r="L45" s="157">
        <f t="shared" si="6"/>
        <v>13264060676.903954</v>
      </c>
      <c r="M45" s="158">
        <f t="shared" si="7"/>
        <v>1952398800.99957</v>
      </c>
      <c r="N45" s="158">
        <f t="shared" si="8"/>
        <v>127133518.93788394</v>
      </c>
      <c r="O45" s="159">
        <f t="shared" si="9"/>
        <v>2079532319.9374537</v>
      </c>
    </row>
    <row r="46" spans="1:15" s="161" customFormat="1" ht="12.75">
      <c r="A46" s="148">
        <f t="shared" si="10"/>
        <v>41287</v>
      </c>
      <c r="B46" s="149">
        <f>IF(DIAS365('CALCULADORA TIPS Pesos E-11'!$E$6,A46)&lt;0,0,DIAS365('CALCULADORA TIPS Pesos E-11'!$E$6,A46))</f>
        <v>0</v>
      </c>
      <c r="C46" s="293">
        <f>+HLOOKUP('CALCULADORA TIPS Pesos E-11'!$E$4,Tablas!$B$1:$C$181,Flujos!J46+1,FALSE)</f>
        <v>0.04231971</v>
      </c>
      <c r="D46" s="294">
        <f t="shared" si="2"/>
        <v>33.066687</v>
      </c>
      <c r="E46" s="295">
        <f t="shared" si="3"/>
        <v>4.231971</v>
      </c>
      <c r="F46" s="295">
        <f>ROUND(D45*ROUND(((1+'CALCULADORA TIPS Pesos E-11'!$C$14)^(1/12)-1),6),6)</f>
        <v>0.31163</v>
      </c>
      <c r="G46" s="295">
        <f t="shared" si="4"/>
        <v>4.543601</v>
      </c>
      <c r="H46" s="153">
        <f>IF($B46=0,0,G46/POWER(1+'CALCULADORA TIPS Pesos E-11'!$F$11,Flujos!$B46/365))</f>
        <v>0</v>
      </c>
      <c r="I46" s="154">
        <f t="shared" si="1"/>
        <v>41287</v>
      </c>
      <c r="J46" s="155">
        <v>44</v>
      </c>
      <c r="K46" s="156">
        <f t="shared" si="5"/>
        <v>1340</v>
      </c>
      <c r="L46" s="157">
        <f t="shared" si="6"/>
        <v>11759097143.714693</v>
      </c>
      <c r="M46" s="158">
        <f t="shared" si="7"/>
        <v>1504963533.1892607</v>
      </c>
      <c r="N46" s="158">
        <f t="shared" si="8"/>
        <v>110821226.95553252</v>
      </c>
      <c r="O46" s="159">
        <f t="shared" si="9"/>
        <v>1615784760.1447933</v>
      </c>
    </row>
    <row r="47" spans="1:15" s="161" customFormat="1" ht="12.75">
      <c r="A47" s="148">
        <f t="shared" si="10"/>
        <v>41318</v>
      </c>
      <c r="B47" s="149">
        <f>IF(DIAS365('CALCULADORA TIPS Pesos E-11'!$E$6,A47)&lt;0,0,DIAS365('CALCULADORA TIPS Pesos E-11'!$E$6,A47))</f>
        <v>0</v>
      </c>
      <c r="C47" s="293">
        <f>+HLOOKUP('CALCULADORA TIPS Pesos E-11'!$E$4,Tablas!$B$1:$C$181,Flujos!J47+1,FALSE)</f>
        <v>0.04261362</v>
      </c>
      <c r="D47" s="294">
        <f t="shared" si="2"/>
        <v>28.805325</v>
      </c>
      <c r="E47" s="295">
        <f t="shared" si="3"/>
        <v>4.261362</v>
      </c>
      <c r="F47" s="295">
        <f>ROUND(D46*ROUND(((1+'CALCULADORA TIPS Pesos E-11'!$C$14)^(1/12)-1),6),6)</f>
        <v>0.276272</v>
      </c>
      <c r="G47" s="295">
        <f t="shared" si="4"/>
        <v>4.537634</v>
      </c>
      <c r="H47" s="153">
        <f>IF($B47=0,0,G47/POWER(1+'CALCULADORA TIPS Pesos E-11'!$F$11,Flujos!$B47/365))</f>
        <v>0</v>
      </c>
      <c r="I47" s="154">
        <f t="shared" si="1"/>
        <v>41318</v>
      </c>
      <c r="J47" s="155">
        <v>45</v>
      </c>
      <c r="K47" s="156">
        <f t="shared" si="5"/>
        <v>1371</v>
      </c>
      <c r="L47" s="157">
        <f t="shared" si="6"/>
        <v>10243681652.512495</v>
      </c>
      <c r="M47" s="158">
        <f t="shared" si="7"/>
        <v>1515415491.2021973</v>
      </c>
      <c r="N47" s="158">
        <f t="shared" si="8"/>
        <v>98247256.63573626</v>
      </c>
      <c r="O47" s="159">
        <f t="shared" si="9"/>
        <v>1613662747.8379335</v>
      </c>
    </row>
    <row r="48" spans="1:15" s="161" customFormat="1" ht="12.75">
      <c r="A48" s="148">
        <f t="shared" si="10"/>
        <v>41346</v>
      </c>
      <c r="B48" s="149">
        <f>IF(DIAS365('CALCULADORA TIPS Pesos E-11'!$E$6,A48)&lt;0,0,DIAS365('CALCULADORA TIPS Pesos E-11'!$E$6,A48))</f>
        <v>0</v>
      </c>
      <c r="C48" s="293">
        <f>+HLOOKUP('CALCULADORA TIPS Pesos E-11'!$E$4,Tablas!$B$1:$C$181,Flujos!J48+1,FALSE)</f>
        <v>0.0384477</v>
      </c>
      <c r="D48" s="294">
        <f t="shared" si="2"/>
        <v>24.960555</v>
      </c>
      <c r="E48" s="295">
        <f t="shared" si="3"/>
        <v>3.84477</v>
      </c>
      <c r="F48" s="295">
        <f>ROUND(D47*ROUND(((1+'CALCULADORA TIPS Pesos E-11'!$C$14)^(1/12)-1),6),6)</f>
        <v>0.240668</v>
      </c>
      <c r="G48" s="295">
        <f t="shared" si="4"/>
        <v>4.085438</v>
      </c>
      <c r="H48" s="153">
        <f>IF($B48=0,0,G48/POWER(1+'CALCULADORA TIPS Pesos E-11'!$F$11,Flujos!$B48/365))</f>
        <v>0</v>
      </c>
      <c r="I48" s="154">
        <f t="shared" si="1"/>
        <v>41346</v>
      </c>
      <c r="J48" s="155">
        <v>46</v>
      </c>
      <c r="K48" s="156">
        <f t="shared" si="5"/>
        <v>1399</v>
      </c>
      <c r="L48" s="157">
        <f t="shared" si="6"/>
        <v>8876413624.565216</v>
      </c>
      <c r="M48" s="158">
        <f t="shared" si="7"/>
        <v>1367268027.947279</v>
      </c>
      <c r="N48" s="158">
        <f t="shared" si="8"/>
        <v>85585960.20674188</v>
      </c>
      <c r="O48" s="159">
        <f t="shared" si="9"/>
        <v>1452853988.1540208</v>
      </c>
    </row>
    <row r="49" spans="1:15" s="161" customFormat="1" ht="12.75">
      <c r="A49" s="148">
        <f t="shared" si="10"/>
        <v>41377</v>
      </c>
      <c r="B49" s="149">
        <f>IF(DIAS365('CALCULADORA TIPS Pesos E-11'!$E$6,A49)&lt;0,0,DIAS365('CALCULADORA TIPS Pesos E-11'!$E$6,A49))</f>
        <v>0</v>
      </c>
      <c r="C49" s="293">
        <f>+HLOOKUP('CALCULADORA TIPS Pesos E-11'!$E$4,Tablas!$B$1:$C$181,Flujos!J49+1,FALSE)</f>
        <v>0.03692092</v>
      </c>
      <c r="D49" s="294">
        <f t="shared" si="2"/>
        <v>21.268463</v>
      </c>
      <c r="E49" s="295">
        <f t="shared" si="3"/>
        <v>3.692092</v>
      </c>
      <c r="F49" s="295">
        <f>ROUND(D48*ROUND(((1+'CALCULADORA TIPS Pesos E-11'!$C$14)^(1/12)-1),6),6)</f>
        <v>0.208545</v>
      </c>
      <c r="G49" s="295">
        <f t="shared" si="4"/>
        <v>3.900637</v>
      </c>
      <c r="H49" s="153">
        <f>IF($B49=0,0,G49/POWER(1+'CALCULADORA TIPS Pesos E-11'!$F$11,Flujos!$B49/365))</f>
        <v>0</v>
      </c>
      <c r="I49" s="154">
        <f t="shared" si="1"/>
        <v>41377</v>
      </c>
      <c r="J49" s="155">
        <v>47</v>
      </c>
      <c r="K49" s="156">
        <f t="shared" si="5"/>
        <v>1430</v>
      </c>
      <c r="L49" s="157">
        <f t="shared" si="6"/>
        <v>7563440586.427713</v>
      </c>
      <c r="M49" s="158">
        <f t="shared" si="7"/>
        <v>1312973038.1375024</v>
      </c>
      <c r="N49" s="158">
        <f t="shared" si="8"/>
        <v>74162435.83324237</v>
      </c>
      <c r="O49" s="159">
        <f t="shared" si="9"/>
        <v>1387135473.9707448</v>
      </c>
    </row>
    <row r="50" spans="1:15" s="161" customFormat="1" ht="12.75">
      <c r="A50" s="148">
        <f t="shared" si="10"/>
        <v>41407</v>
      </c>
      <c r="B50" s="149">
        <f>IF(DIAS365('CALCULADORA TIPS Pesos E-11'!$E$6,A50)&lt;0,0,DIAS365('CALCULADORA TIPS Pesos E-11'!$E$6,A50))</f>
        <v>0</v>
      </c>
      <c r="C50" s="293">
        <f>+HLOOKUP('CALCULADORA TIPS Pesos E-11'!$E$4,Tablas!$B$1:$C$181,Flujos!J50+1,FALSE)</f>
        <v>0.0447699</v>
      </c>
      <c r="D50" s="294">
        <f t="shared" si="2"/>
        <v>16.791473</v>
      </c>
      <c r="E50" s="295">
        <f t="shared" si="3"/>
        <v>4.47699</v>
      </c>
      <c r="F50" s="295">
        <f>ROUND(D49*ROUND(((1+'CALCULADORA TIPS Pesos E-11'!$C$14)^(1/12)-1),6),6)</f>
        <v>0.177698</v>
      </c>
      <c r="G50" s="295">
        <f t="shared" si="4"/>
        <v>4.654688</v>
      </c>
      <c r="H50" s="153">
        <f>IF($B50=0,0,G50/POWER(1+'CALCULADORA TIPS Pesos E-11'!$F$11,Flujos!$B50/365))</f>
        <v>0</v>
      </c>
      <c r="I50" s="154">
        <f t="shared" si="1"/>
        <v>41407</v>
      </c>
      <c r="J50" s="155">
        <v>48</v>
      </c>
      <c r="K50" s="156">
        <f t="shared" si="5"/>
        <v>1460</v>
      </c>
      <c r="L50" s="157">
        <f t="shared" si="6"/>
        <v>5971343975.072629</v>
      </c>
      <c r="M50" s="158">
        <f t="shared" si="7"/>
        <v>1592096611.3550844</v>
      </c>
      <c r="N50" s="158">
        <f t="shared" si="8"/>
        <v>63192546.09960354</v>
      </c>
      <c r="O50" s="159">
        <f t="shared" si="9"/>
        <v>1655289157.454688</v>
      </c>
    </row>
    <row r="51" spans="1:15" s="161" customFormat="1" ht="12.75">
      <c r="A51" s="148">
        <f t="shared" si="10"/>
        <v>41438</v>
      </c>
      <c r="B51" s="149">
        <f>IF(DIAS365('CALCULADORA TIPS Pesos E-11'!$E$6,A51)&lt;0,0,DIAS365('CALCULADORA TIPS Pesos E-11'!$E$6,A51))</f>
        <v>0</v>
      </c>
      <c r="C51" s="293">
        <f>+HLOOKUP('CALCULADORA TIPS Pesos E-11'!$E$4,Tablas!$B$1:$C$181,Flujos!J51+1,FALSE)</f>
        <v>0.05392233</v>
      </c>
      <c r="D51" s="294">
        <f t="shared" si="2"/>
        <v>11.39924</v>
      </c>
      <c r="E51" s="295">
        <f t="shared" si="3"/>
        <v>5.392233</v>
      </c>
      <c r="F51" s="295">
        <f>ROUND(D50*ROUND(((1+'CALCULADORA TIPS Pesos E-11'!$C$14)^(1/12)-1),6),6)</f>
        <v>0.140293</v>
      </c>
      <c r="G51" s="295">
        <f t="shared" si="4"/>
        <v>5.532526</v>
      </c>
      <c r="H51" s="153">
        <f>IF($B51=0,0,G51/POWER(1+'CALCULADORA TIPS Pesos E-11'!$F$11,Flujos!$B51/365))</f>
        <v>0</v>
      </c>
      <c r="I51" s="154">
        <f t="shared" si="1"/>
        <v>41438</v>
      </c>
      <c r="J51" s="155">
        <v>49</v>
      </c>
      <c r="K51" s="156">
        <f t="shared" si="5"/>
        <v>1491</v>
      </c>
      <c r="L51" s="157">
        <f t="shared" si="6"/>
        <v>4053770809.4106417</v>
      </c>
      <c r="M51" s="158">
        <f t="shared" si="7"/>
        <v>1917573165.6619873</v>
      </c>
      <c r="N51" s="158">
        <f t="shared" si="8"/>
        <v>49890578.91173181</v>
      </c>
      <c r="O51" s="159">
        <f t="shared" si="9"/>
        <v>1967463744.573719</v>
      </c>
    </row>
    <row r="52" spans="1:15" s="161" customFormat="1" ht="12.75">
      <c r="A52" s="148">
        <f t="shared" si="10"/>
        <v>41468</v>
      </c>
      <c r="B52" s="149">
        <f>IF(DIAS365('CALCULADORA TIPS Pesos E-11'!$E$6,A52)&lt;0,0,DIAS365('CALCULADORA TIPS Pesos E-11'!$E$6,A52))</f>
        <v>0</v>
      </c>
      <c r="C52" s="293">
        <f>+HLOOKUP('CALCULADORA TIPS Pesos E-11'!$E$4,Tablas!$B$1:$C$181,Flujos!J52+1,FALSE)</f>
        <v>0.04766478</v>
      </c>
      <c r="D52" s="294">
        <f t="shared" si="2"/>
        <v>6.632762</v>
      </c>
      <c r="E52" s="295">
        <f t="shared" si="3"/>
        <v>4.766478</v>
      </c>
      <c r="F52" s="295">
        <f>ROUND(D51*ROUND(((1+'CALCULADORA TIPS Pesos E-11'!$C$14)^(1/12)-1),6),6)</f>
        <v>0.095241</v>
      </c>
      <c r="G52" s="295">
        <f t="shared" si="4"/>
        <v>4.861719</v>
      </c>
      <c r="H52" s="153">
        <f>IF($B52=0,0,G52/POWER(1+'CALCULADORA TIPS Pesos E-11'!$F$11,Flujos!$B52/365))</f>
        <v>0</v>
      </c>
      <c r="I52" s="154">
        <f t="shared" si="1"/>
        <v>41468</v>
      </c>
      <c r="J52" s="155">
        <v>50</v>
      </c>
      <c r="K52" s="156">
        <f t="shared" si="5"/>
        <v>1521</v>
      </c>
      <c r="L52" s="157">
        <f t="shared" si="6"/>
        <v>2358727159.1236053</v>
      </c>
      <c r="M52" s="158">
        <f t="shared" si="7"/>
        <v>1695043650.2870364</v>
      </c>
      <c r="N52" s="158">
        <f t="shared" si="8"/>
        <v>33869255.11262591</v>
      </c>
      <c r="O52" s="159">
        <f t="shared" si="9"/>
        <v>1728912905.3996623</v>
      </c>
    </row>
    <row r="53" spans="1:15" s="264" customFormat="1" ht="12.75">
      <c r="A53" s="255">
        <f t="shared" si="10"/>
        <v>41499</v>
      </c>
      <c r="B53" s="256">
        <f>IF(DIAS365('CALCULADORA TIPS Pesos E-11'!$E$6,A53)&lt;0,0,DIAS365('CALCULADORA TIPS Pesos E-11'!$E$6,A53))</f>
        <v>0</v>
      </c>
      <c r="C53" s="300">
        <f>+HLOOKUP('CALCULADORA TIPS Pesos E-11'!$E$4,Tablas!$B$1:$C$181,Flujos!J53+1,FALSE)</f>
        <v>0.03820753</v>
      </c>
      <c r="D53" s="301">
        <f t="shared" si="2"/>
        <v>2.812009</v>
      </c>
      <c r="E53" s="302">
        <f t="shared" si="3"/>
        <v>3.820753</v>
      </c>
      <c r="F53" s="302">
        <f>ROUND(D52*ROUND(((1+'CALCULADORA TIPS Pesos E-11'!$C$14)^(1/12)-1),6),6)</f>
        <v>0.055417</v>
      </c>
      <c r="G53" s="302">
        <f t="shared" si="4"/>
        <v>3.8761699999999997</v>
      </c>
      <c r="H53" s="257">
        <f>IF($B53=0,0,G53/POWER(1+'CALCULADORA TIPS Pesos E-11'!$F$11,Flujos!$B53/365))</f>
        <v>0</v>
      </c>
      <c r="I53" s="258">
        <f t="shared" si="1"/>
        <v>41499</v>
      </c>
      <c r="J53" s="259">
        <v>51</v>
      </c>
      <c r="K53" s="260">
        <f t="shared" si="5"/>
        <v>1552</v>
      </c>
      <c r="L53" s="261">
        <f t="shared" si="6"/>
        <v>1000000000.0000036</v>
      </c>
      <c r="M53" s="262">
        <f t="shared" si="7"/>
        <v>1358727159.1236017</v>
      </c>
      <c r="N53" s="262">
        <f t="shared" si="8"/>
        <v>19707165.41447772</v>
      </c>
      <c r="O53" s="263">
        <f t="shared" si="9"/>
        <v>1378434324.5380795</v>
      </c>
    </row>
    <row r="54" spans="1:15" ht="12.75">
      <c r="A54" s="4">
        <f t="shared" si="10"/>
        <v>41530</v>
      </c>
      <c r="B54" s="9">
        <f>IF(DIAS365('CALCULADORA TIPS Pesos E-11'!$E$6,A54)&lt;0,0,DIAS365('CALCULADORA TIPS Pesos E-11'!$E$6,A54))</f>
        <v>31</v>
      </c>
      <c r="C54" s="5">
        <f>+HLOOKUP('CALCULADORA TIPS Pesos E-11'!$E$4,Tablas!$B$1:$C$181,Flujos!J54+1,FALSE)</f>
        <v>0.01482005</v>
      </c>
      <c r="D54" s="14">
        <f t="shared" si="2"/>
        <v>1.330004</v>
      </c>
      <c r="E54" s="15">
        <f t="shared" si="3"/>
        <v>1.482005</v>
      </c>
      <c r="F54" s="15">
        <f>ROUND(D53*ROUND(((1+'CALCULADORA TIPS Pesos E-11'!$C$14)^(1/12)-1),6),6)</f>
        <v>0.023494</v>
      </c>
      <c r="G54" s="15">
        <f t="shared" si="4"/>
        <v>1.505499</v>
      </c>
      <c r="H54" s="28">
        <f>IF($B54=0,0,G54/POWER(1+'CALCULADORA TIPS Pesos E-11'!$F$11,Flujos!$B54/365))</f>
        <v>1.4962765645167968</v>
      </c>
      <c r="I54" s="30">
        <f t="shared" si="1"/>
        <v>41530</v>
      </c>
      <c r="J54" s="25">
        <v>52</v>
      </c>
      <c r="K54" s="12">
        <f t="shared" si="5"/>
        <v>1583</v>
      </c>
      <c r="L54" s="94">
        <f t="shared" si="6"/>
        <v>472972881.6657451</v>
      </c>
      <c r="M54" s="91">
        <f t="shared" si="7"/>
        <v>527027118.3342585</v>
      </c>
      <c r="N54" s="91">
        <f t="shared" si="8"/>
        <v>8355000.00000003</v>
      </c>
      <c r="O54" s="92">
        <f t="shared" si="9"/>
        <v>535382118.33425856</v>
      </c>
    </row>
    <row r="55" spans="1:15" ht="12.75">
      <c r="A55" s="4">
        <f t="shared" si="10"/>
        <v>41560</v>
      </c>
      <c r="B55" s="9">
        <f>IF(DIAS365('CALCULADORA TIPS Pesos E-11'!$E$6,A55)&lt;0,0,DIAS365('CALCULADORA TIPS Pesos E-11'!$E$6,A55))</f>
        <v>61</v>
      </c>
      <c r="C55" s="5">
        <f>+HLOOKUP('CALCULADORA TIPS Pesos E-11'!$E$4,Tablas!$B$1:$C$181,Flujos!J55+1,FALSE)</f>
        <v>0.01330004</v>
      </c>
      <c r="D55" s="14">
        <f t="shared" si="2"/>
        <v>0</v>
      </c>
      <c r="E55" s="15">
        <f t="shared" si="3"/>
        <v>1.330004</v>
      </c>
      <c r="F55" s="15">
        <f>ROUND(D54*ROUND(((1+'CALCULADORA TIPS Pesos E-11'!$C$14)^(1/12)-1),6),6)</f>
        <v>0.011112</v>
      </c>
      <c r="G55" s="15">
        <f t="shared" si="4"/>
        <v>1.341116</v>
      </c>
      <c r="H55" s="28">
        <f>IF($B55=0,0,G55/POWER(1+'CALCULADORA TIPS Pesos E-11'!$F$11,Flujos!$B55/365))</f>
        <v>1.324998029938255</v>
      </c>
      <c r="I55" s="30">
        <f t="shared" si="1"/>
        <v>41560</v>
      </c>
      <c r="J55" s="25">
        <v>53</v>
      </c>
      <c r="K55" s="12">
        <f t="shared" si="5"/>
        <v>1613</v>
      </c>
      <c r="L55" s="94">
        <f t="shared" si="6"/>
        <v>3.635883331298828E-06</v>
      </c>
      <c r="M55" s="91">
        <f t="shared" si="7"/>
        <v>472972881.66574144</v>
      </c>
      <c r="N55" s="91">
        <f t="shared" si="8"/>
        <v>3951688.4263172997</v>
      </c>
      <c r="O55" s="92">
        <f t="shared" si="9"/>
        <v>476924570.0920587</v>
      </c>
    </row>
    <row r="56" spans="1:15" ht="12.75">
      <c r="A56" s="4">
        <f t="shared" si="10"/>
        <v>41591</v>
      </c>
      <c r="B56" s="9">
        <f>IF(DIAS365('CALCULADORA TIPS Pesos E-11'!$E$6,A56)&lt;0,0,DIAS365('CALCULADORA TIPS Pesos E-11'!$E$6,A56))</f>
        <v>92</v>
      </c>
      <c r="C56" s="5">
        <f>+HLOOKUP('CALCULADORA TIPS Pesos E-11'!$E$4,Tablas!$B$1:$C$181,Flujos!J56+1,FALSE)</f>
        <v>0</v>
      </c>
      <c r="D56" s="14">
        <f t="shared" si="2"/>
        <v>0</v>
      </c>
      <c r="E56" s="15">
        <f t="shared" si="3"/>
        <v>0</v>
      </c>
      <c r="F56" s="15">
        <f>ROUND(D55*ROUND(((1+'CALCULADORA TIPS Pesos E-11'!$C$14)^(1/12)-1),6),6)</f>
        <v>0</v>
      </c>
      <c r="G56" s="15">
        <f t="shared" si="4"/>
        <v>0</v>
      </c>
      <c r="H56" s="28">
        <f>IF($B56=0,0,G56/POWER(1+'CALCULADORA TIPS Pesos E-11'!$F$11,Flujos!$B56/365))</f>
        <v>0</v>
      </c>
      <c r="I56" s="30">
        <f t="shared" si="1"/>
        <v>41591</v>
      </c>
      <c r="J56" s="25">
        <v>54</v>
      </c>
      <c r="K56" s="12">
        <f t="shared" si="5"/>
        <v>1644</v>
      </c>
      <c r="L56" s="94">
        <f t="shared" si="6"/>
        <v>3.635883331298828E-06</v>
      </c>
      <c r="M56" s="91">
        <f t="shared" si="7"/>
        <v>0</v>
      </c>
      <c r="N56" s="91">
        <f t="shared" si="8"/>
        <v>3.037780523300171E-08</v>
      </c>
      <c r="O56" s="92">
        <f t="shared" si="9"/>
        <v>3.037780523300171E-08</v>
      </c>
    </row>
    <row r="57" spans="1:15" ht="12.75">
      <c r="A57" s="4">
        <f t="shared" si="10"/>
        <v>41621</v>
      </c>
      <c r="B57" s="9">
        <f>IF(DIAS365('CALCULADORA TIPS Pesos E-11'!$E$6,A57)&lt;0,0,DIAS365('CALCULADORA TIPS Pesos E-11'!$E$6,A57))</f>
        <v>122</v>
      </c>
      <c r="C57" s="5">
        <f>+HLOOKUP('CALCULADORA TIPS Pesos E-11'!$E$4,Tablas!$B$1:$C$181,Flujos!J57+1,FALSE)</f>
        <v>0</v>
      </c>
      <c r="D57" s="14">
        <f t="shared" si="2"/>
        <v>0</v>
      </c>
      <c r="E57" s="15">
        <f t="shared" si="3"/>
        <v>0</v>
      </c>
      <c r="F57" s="15">
        <f>ROUND(D56*ROUND(((1+'CALCULADORA TIPS Pesos E-11'!$C$14)^(1/12)-1),6),6)</f>
        <v>0</v>
      </c>
      <c r="G57" s="15">
        <f t="shared" si="4"/>
        <v>0</v>
      </c>
      <c r="H57" s="28">
        <f>IF($B57=0,0,G57/POWER(1+'CALCULADORA TIPS Pesos E-11'!$F$11,Flujos!$B57/365))</f>
        <v>0</v>
      </c>
      <c r="I57" s="30">
        <f t="shared" si="1"/>
        <v>41621</v>
      </c>
      <c r="J57" s="25">
        <v>55</v>
      </c>
      <c r="K57" s="12">
        <f t="shared" si="5"/>
        <v>1674</v>
      </c>
      <c r="L57" s="94">
        <f t="shared" si="6"/>
        <v>3.635883331298828E-06</v>
      </c>
      <c r="M57" s="91">
        <f t="shared" si="7"/>
        <v>0</v>
      </c>
      <c r="N57" s="91">
        <f t="shared" si="8"/>
        <v>3.037780523300171E-08</v>
      </c>
      <c r="O57" s="92">
        <f t="shared" si="9"/>
        <v>3.037780523300171E-08</v>
      </c>
    </row>
    <row r="58" spans="1:15" ht="12.75">
      <c r="A58" s="4">
        <f t="shared" si="10"/>
        <v>41652</v>
      </c>
      <c r="B58" s="9">
        <f>IF(DIAS365('CALCULADORA TIPS Pesos E-11'!$E$6,A58)&lt;0,0,DIAS365('CALCULADORA TIPS Pesos E-11'!$E$6,A58))</f>
        <v>153</v>
      </c>
      <c r="C58" s="5">
        <f>+HLOOKUP('CALCULADORA TIPS Pesos E-11'!$E$4,Tablas!$B$1:$C$181,Flujos!J58+1,FALSE)</f>
        <v>0</v>
      </c>
      <c r="D58" s="14">
        <f t="shared" si="2"/>
        <v>0</v>
      </c>
      <c r="E58" s="15">
        <f t="shared" si="3"/>
        <v>0</v>
      </c>
      <c r="F58" s="15">
        <f>ROUND(D57*ROUND(((1+'CALCULADORA TIPS Pesos E-11'!$C$14)^(1/12)-1),6),6)</f>
        <v>0</v>
      </c>
      <c r="G58" s="15">
        <f t="shared" si="4"/>
        <v>0</v>
      </c>
      <c r="H58" s="28">
        <f>IF($B58=0,0,G58/POWER(1+'CALCULADORA TIPS Pesos E-11'!$F$11,Flujos!$B58/365))</f>
        <v>0</v>
      </c>
      <c r="I58" s="30">
        <f t="shared" si="1"/>
        <v>41652</v>
      </c>
      <c r="J58" s="25">
        <v>56</v>
      </c>
      <c r="K58" s="12">
        <f t="shared" si="5"/>
        <v>1705</v>
      </c>
      <c r="L58" s="94">
        <f t="shared" si="6"/>
        <v>3.635883331298828E-06</v>
      </c>
      <c r="M58" s="91">
        <f t="shared" si="7"/>
        <v>0</v>
      </c>
      <c r="N58" s="91">
        <f t="shared" si="8"/>
        <v>3.037780523300171E-08</v>
      </c>
      <c r="O58" s="92">
        <f t="shared" si="9"/>
        <v>3.037780523300171E-08</v>
      </c>
    </row>
    <row r="59" spans="1:15" ht="12.75">
      <c r="A59" s="4">
        <f t="shared" si="10"/>
        <v>41683</v>
      </c>
      <c r="B59" s="9">
        <f>IF(DIAS365('CALCULADORA TIPS Pesos E-11'!$E$6,A59)&lt;0,0,DIAS365('CALCULADORA TIPS Pesos E-11'!$E$6,A59))</f>
        <v>184</v>
      </c>
      <c r="C59" s="5">
        <f>+HLOOKUP('CALCULADORA TIPS Pesos E-11'!$E$4,Tablas!$B$1:$C$181,Flujos!J59+1,FALSE)</f>
        <v>0</v>
      </c>
      <c r="D59" s="14">
        <f t="shared" si="2"/>
        <v>0</v>
      </c>
      <c r="E59" s="15">
        <f t="shared" si="3"/>
        <v>0</v>
      </c>
      <c r="F59" s="15">
        <f>ROUND(D58*ROUND(((1+'CALCULADORA TIPS Pesos E-11'!$C$14)^(1/12)-1),6),6)</f>
        <v>0</v>
      </c>
      <c r="G59" s="15">
        <f t="shared" si="4"/>
        <v>0</v>
      </c>
      <c r="H59" s="28">
        <f>IF($B59=0,0,G59/POWER(1+'CALCULADORA TIPS Pesos E-11'!$F$11,Flujos!$B59/365))</f>
        <v>0</v>
      </c>
      <c r="I59" s="30">
        <f t="shared" si="1"/>
        <v>41683</v>
      </c>
      <c r="J59" s="25">
        <v>57</v>
      </c>
      <c r="K59" s="12">
        <f t="shared" si="5"/>
        <v>1736</v>
      </c>
      <c r="L59" s="94">
        <f t="shared" si="6"/>
        <v>3.635883331298828E-06</v>
      </c>
      <c r="M59" s="91">
        <f t="shared" si="7"/>
        <v>0</v>
      </c>
      <c r="N59" s="91">
        <f t="shared" si="8"/>
        <v>3.037780523300171E-08</v>
      </c>
      <c r="O59" s="92">
        <f t="shared" si="9"/>
        <v>3.037780523300171E-08</v>
      </c>
    </row>
    <row r="60" spans="1:15" ht="12.75">
      <c r="A60" s="4">
        <f t="shared" si="10"/>
        <v>41711</v>
      </c>
      <c r="B60" s="9">
        <f>IF(DIAS365('CALCULADORA TIPS Pesos E-11'!$E$6,A60)&lt;0,0,DIAS365('CALCULADORA TIPS Pesos E-11'!$E$6,A60))</f>
        <v>212</v>
      </c>
      <c r="C60" s="5">
        <f>+HLOOKUP('CALCULADORA TIPS Pesos E-11'!$E$4,Tablas!$B$1:$C$181,Flujos!J60+1,FALSE)</f>
        <v>0</v>
      </c>
      <c r="D60" s="14">
        <f t="shared" si="2"/>
        <v>0</v>
      </c>
      <c r="E60" s="15">
        <f t="shared" si="3"/>
        <v>0</v>
      </c>
      <c r="F60" s="15">
        <f>ROUND(D59*ROUND(((1+'CALCULADORA TIPS Pesos E-11'!$C$14)^(1/12)-1),6),6)</f>
        <v>0</v>
      </c>
      <c r="G60" s="15">
        <f t="shared" si="4"/>
        <v>0</v>
      </c>
      <c r="H60" s="28">
        <f>IF($B60=0,0,G60/POWER(1+'CALCULADORA TIPS Pesos E-11'!$F$11,Flujos!$B60/365))</f>
        <v>0</v>
      </c>
      <c r="I60" s="30">
        <f t="shared" si="1"/>
        <v>41711</v>
      </c>
      <c r="J60" s="25">
        <v>58</v>
      </c>
      <c r="K60" s="12">
        <f t="shared" si="5"/>
        <v>1764</v>
      </c>
      <c r="L60" s="94">
        <f t="shared" si="6"/>
        <v>3.635883331298828E-06</v>
      </c>
      <c r="M60" s="91">
        <f t="shared" si="7"/>
        <v>0</v>
      </c>
      <c r="N60" s="91">
        <f t="shared" si="8"/>
        <v>3.037780523300171E-08</v>
      </c>
      <c r="O60" s="92">
        <f t="shared" si="9"/>
        <v>3.037780523300171E-08</v>
      </c>
    </row>
    <row r="61" spans="1:15" ht="12.75">
      <c r="A61" s="4">
        <f t="shared" si="10"/>
        <v>41742</v>
      </c>
      <c r="B61" s="9">
        <f>IF(DIAS365('CALCULADORA TIPS Pesos E-11'!$E$6,A61)&lt;0,0,DIAS365('CALCULADORA TIPS Pesos E-11'!$E$6,A61))</f>
        <v>243</v>
      </c>
      <c r="C61" s="5">
        <f>+HLOOKUP('CALCULADORA TIPS Pesos E-11'!$E$4,Tablas!$B$1:$C$181,Flujos!J61+1,FALSE)</f>
        <v>0</v>
      </c>
      <c r="D61" s="14">
        <f t="shared" si="2"/>
        <v>0</v>
      </c>
      <c r="E61" s="15">
        <f t="shared" si="3"/>
        <v>0</v>
      </c>
      <c r="F61" s="15">
        <f>ROUND(D60*ROUND(((1+'CALCULADORA TIPS Pesos E-11'!$C$14)^(1/12)-1),6),6)</f>
        <v>0</v>
      </c>
      <c r="G61" s="15">
        <f t="shared" si="4"/>
        <v>0</v>
      </c>
      <c r="H61" s="28">
        <f>IF($B61=0,0,G61/POWER(1+'CALCULADORA TIPS Pesos E-11'!$F$11,Flujos!$B61/365))</f>
        <v>0</v>
      </c>
      <c r="I61" s="30">
        <f t="shared" si="1"/>
        <v>41742</v>
      </c>
      <c r="J61" s="25">
        <v>59</v>
      </c>
      <c r="K61" s="12">
        <f t="shared" si="5"/>
        <v>1795</v>
      </c>
      <c r="L61" s="94">
        <f t="shared" si="6"/>
        <v>3.635883331298828E-06</v>
      </c>
      <c r="M61" s="91">
        <f t="shared" si="7"/>
        <v>0</v>
      </c>
      <c r="N61" s="91">
        <f t="shared" si="8"/>
        <v>3.037780523300171E-08</v>
      </c>
      <c r="O61" s="92">
        <f t="shared" si="9"/>
        <v>3.037780523300171E-08</v>
      </c>
    </row>
    <row r="62" spans="1:15" ht="12.75">
      <c r="A62" s="4">
        <f t="shared" si="10"/>
        <v>41772</v>
      </c>
      <c r="B62" s="9">
        <f>IF(DIAS365('CALCULADORA TIPS Pesos E-11'!$E$6,A62)&lt;0,0,DIAS365('CALCULADORA TIPS Pesos E-11'!$E$6,A62))</f>
        <v>273</v>
      </c>
      <c r="C62" s="5">
        <f>+HLOOKUP('CALCULADORA TIPS Pesos E-11'!$E$4,Tablas!$B$1:$C$181,Flujos!J62+1,FALSE)</f>
        <v>0</v>
      </c>
      <c r="D62" s="14">
        <f t="shared" si="2"/>
        <v>0</v>
      </c>
      <c r="E62" s="15">
        <f t="shared" si="3"/>
        <v>0</v>
      </c>
      <c r="F62" s="15">
        <f>ROUND(D61*ROUND(((1+'CALCULADORA TIPS Pesos E-11'!$C$14)^(1/12)-1),6),6)</f>
        <v>0</v>
      </c>
      <c r="G62" s="15">
        <f t="shared" si="4"/>
        <v>0</v>
      </c>
      <c r="H62" s="28">
        <f>IF($B62=0,0,G62/POWER(1+'CALCULADORA TIPS Pesos E-11'!$F$11,Flujos!$B62/365))</f>
        <v>0</v>
      </c>
      <c r="I62" s="30">
        <f t="shared" si="1"/>
        <v>41772</v>
      </c>
      <c r="J62" s="25">
        <v>60</v>
      </c>
      <c r="K62" s="12">
        <f t="shared" si="5"/>
        <v>1825</v>
      </c>
      <c r="L62" s="94">
        <f t="shared" si="6"/>
        <v>3.635883331298828E-06</v>
      </c>
      <c r="M62" s="91">
        <f t="shared" si="7"/>
        <v>0</v>
      </c>
      <c r="N62" s="91">
        <f t="shared" si="8"/>
        <v>3.037780523300171E-08</v>
      </c>
      <c r="O62" s="92">
        <f t="shared" si="9"/>
        <v>3.037780523300171E-08</v>
      </c>
    </row>
    <row r="63" spans="1:15" ht="12.75">
      <c r="A63" s="4">
        <f t="shared" si="10"/>
        <v>41803</v>
      </c>
      <c r="B63" s="9">
        <f>IF(DIAS365('CALCULADORA TIPS Pesos E-11'!$E$6,A63)&lt;0,0,DIAS365('CALCULADORA TIPS Pesos E-11'!$E$6,A63))</f>
        <v>304</v>
      </c>
      <c r="C63" s="5">
        <f>+HLOOKUP('CALCULADORA TIPS Pesos E-11'!$E$4,Tablas!$B$1:$C$181,Flujos!J63+1,FALSE)</f>
        <v>0</v>
      </c>
      <c r="D63" s="14">
        <f t="shared" si="2"/>
        <v>0</v>
      </c>
      <c r="E63" s="15">
        <f t="shared" si="3"/>
        <v>0</v>
      </c>
      <c r="F63" s="15">
        <f>ROUND(D62*ROUND(((1+'CALCULADORA TIPS Pesos E-11'!$C$14)^(1/12)-1),6),6)</f>
        <v>0</v>
      </c>
      <c r="G63" s="15">
        <f t="shared" si="4"/>
        <v>0</v>
      </c>
      <c r="H63" s="28">
        <f>IF($B63=0,0,G63/POWER(1+'CALCULADORA TIPS Pesos E-11'!$F$11,Flujos!$B63/365))</f>
        <v>0</v>
      </c>
      <c r="I63" s="30">
        <f t="shared" si="1"/>
        <v>41803</v>
      </c>
      <c r="J63" s="25">
        <v>61</v>
      </c>
      <c r="K63" s="12">
        <f t="shared" si="5"/>
        <v>1856</v>
      </c>
      <c r="L63" s="94">
        <f t="shared" si="6"/>
        <v>3.635883331298828E-06</v>
      </c>
      <c r="M63" s="91">
        <f t="shared" si="7"/>
        <v>0</v>
      </c>
      <c r="N63" s="91">
        <f t="shared" si="8"/>
        <v>3.037780523300171E-08</v>
      </c>
      <c r="O63" s="92">
        <f t="shared" si="9"/>
        <v>3.037780523300171E-08</v>
      </c>
    </row>
    <row r="64" spans="1:15" ht="12.75">
      <c r="A64" s="4">
        <f t="shared" si="10"/>
        <v>41833</v>
      </c>
      <c r="B64" s="9">
        <f>IF(DIAS365('CALCULADORA TIPS Pesos E-11'!$E$6,A64)&lt;0,0,DIAS365('CALCULADORA TIPS Pesos E-11'!$E$6,A64))</f>
        <v>334</v>
      </c>
      <c r="C64" s="5">
        <f>+HLOOKUP('CALCULADORA TIPS Pesos E-11'!$E$4,Tablas!$B$1:$C$181,Flujos!J64+1,FALSE)</f>
        <v>0</v>
      </c>
      <c r="D64" s="14">
        <f t="shared" si="2"/>
        <v>0</v>
      </c>
      <c r="E64" s="15">
        <f t="shared" si="3"/>
        <v>0</v>
      </c>
      <c r="F64" s="15">
        <f>ROUND(D63*ROUND(((1+'CALCULADORA TIPS Pesos E-11'!$C$14)^(1/12)-1),6),6)</f>
        <v>0</v>
      </c>
      <c r="G64" s="15">
        <f t="shared" si="4"/>
        <v>0</v>
      </c>
      <c r="H64" s="28">
        <f>IF($B64=0,0,G64/POWER(1+'CALCULADORA TIPS Pesos E-11'!$F$11,Flujos!$B64/365))</f>
        <v>0</v>
      </c>
      <c r="I64" s="30">
        <f t="shared" si="1"/>
        <v>41833</v>
      </c>
      <c r="J64" s="25">
        <v>62</v>
      </c>
      <c r="K64" s="12">
        <f t="shared" si="5"/>
        <v>1886</v>
      </c>
      <c r="L64" s="94">
        <f t="shared" si="6"/>
        <v>3.635883331298828E-06</v>
      </c>
      <c r="M64" s="91">
        <f t="shared" si="7"/>
        <v>0</v>
      </c>
      <c r="N64" s="91">
        <f t="shared" si="8"/>
        <v>3.037780523300171E-08</v>
      </c>
      <c r="O64" s="92">
        <f t="shared" si="9"/>
        <v>3.037780523300171E-08</v>
      </c>
    </row>
    <row r="65" spans="1:15" ht="12.75">
      <c r="A65" s="4">
        <f t="shared" si="10"/>
        <v>41864</v>
      </c>
      <c r="B65" s="9">
        <f>IF(DIAS365('CALCULADORA TIPS Pesos E-11'!$E$6,A65)&lt;0,0,DIAS365('CALCULADORA TIPS Pesos E-11'!$E$6,A65))</f>
        <v>365</v>
      </c>
      <c r="C65" s="5">
        <f>+HLOOKUP('CALCULADORA TIPS Pesos E-11'!$E$4,Tablas!$B$1:$C$181,Flujos!J65+1,FALSE)</f>
        <v>0</v>
      </c>
      <c r="D65" s="14">
        <f t="shared" si="2"/>
        <v>0</v>
      </c>
      <c r="E65" s="15">
        <f t="shared" si="3"/>
        <v>0</v>
      </c>
      <c r="F65" s="15">
        <f>ROUND(D64*ROUND(((1+'CALCULADORA TIPS Pesos E-11'!$C$14)^(1/12)-1),6),6)</f>
        <v>0</v>
      </c>
      <c r="G65" s="15">
        <f t="shared" si="4"/>
        <v>0</v>
      </c>
      <c r="H65" s="28">
        <f>IF($B65=0,0,G65/POWER(1+'CALCULADORA TIPS Pesos E-11'!$F$11,Flujos!$B65/365))</f>
        <v>0</v>
      </c>
      <c r="I65" s="30">
        <f t="shared" si="1"/>
        <v>41864</v>
      </c>
      <c r="J65" s="25">
        <v>63</v>
      </c>
      <c r="K65" s="12">
        <f t="shared" si="5"/>
        <v>1917</v>
      </c>
      <c r="L65" s="94">
        <f t="shared" si="6"/>
        <v>3.635883331298828E-06</v>
      </c>
      <c r="M65" s="91">
        <f t="shared" si="7"/>
        <v>0</v>
      </c>
      <c r="N65" s="91">
        <f t="shared" si="8"/>
        <v>3.037780523300171E-08</v>
      </c>
      <c r="O65" s="92">
        <f t="shared" si="9"/>
        <v>3.037780523300171E-08</v>
      </c>
    </row>
    <row r="66" spans="1:15" ht="12.75">
      <c r="A66" s="4">
        <f t="shared" si="10"/>
        <v>41895</v>
      </c>
      <c r="B66" s="9">
        <f>IF(DIAS365('CALCULADORA TIPS Pesos E-11'!$E$6,A66)&lt;0,0,DIAS365('CALCULADORA TIPS Pesos E-11'!$E$6,A66))</f>
        <v>396</v>
      </c>
      <c r="C66" s="5">
        <f>+HLOOKUP('CALCULADORA TIPS Pesos E-11'!$E$4,Tablas!$B$1:$C$181,Flujos!J66+1,FALSE)</f>
        <v>0</v>
      </c>
      <c r="D66" s="14">
        <f t="shared" si="2"/>
        <v>0</v>
      </c>
      <c r="E66" s="15">
        <f t="shared" si="3"/>
        <v>0</v>
      </c>
      <c r="F66" s="15">
        <f>ROUND(D65*ROUND(((1+'CALCULADORA TIPS Pesos E-11'!$C$14)^(1/12)-1),6),6)</f>
        <v>0</v>
      </c>
      <c r="G66" s="15">
        <f t="shared" si="4"/>
        <v>0</v>
      </c>
      <c r="H66" s="28">
        <f>IF($B66=0,0,G66/POWER(1+'CALCULADORA TIPS Pesos E-11'!$F$11,Flujos!$B66/365))</f>
        <v>0</v>
      </c>
      <c r="I66" s="30">
        <f t="shared" si="1"/>
        <v>41895</v>
      </c>
      <c r="J66" s="25">
        <v>64</v>
      </c>
      <c r="K66" s="12">
        <f t="shared" si="5"/>
        <v>1948</v>
      </c>
      <c r="L66" s="94">
        <f t="shared" si="6"/>
        <v>3.635883331298828E-06</v>
      </c>
      <c r="M66" s="91">
        <f t="shared" si="7"/>
        <v>0</v>
      </c>
      <c r="N66" s="91">
        <f t="shared" si="8"/>
        <v>3.037780523300171E-08</v>
      </c>
      <c r="O66" s="92">
        <f t="shared" si="9"/>
        <v>3.037780523300171E-08</v>
      </c>
    </row>
    <row r="67" spans="1:15" ht="12.75">
      <c r="A67" s="4">
        <f aca="true" t="shared" si="11" ref="A67:A98">_XLL.FECHA.MES(A66,1)</f>
        <v>41925</v>
      </c>
      <c r="B67" s="9">
        <f>IF(DIAS365('CALCULADORA TIPS Pesos E-11'!$E$6,A67)&lt;0,0,DIAS365('CALCULADORA TIPS Pesos E-11'!$E$6,A67))</f>
        <v>426</v>
      </c>
      <c r="C67" s="5">
        <f>+HLOOKUP('CALCULADORA TIPS Pesos E-11'!$E$4,Tablas!$B$1:$C$181,Flujos!J67+1,FALSE)</f>
        <v>0</v>
      </c>
      <c r="D67" s="14">
        <f t="shared" si="2"/>
        <v>0</v>
      </c>
      <c r="E67" s="15">
        <f t="shared" si="3"/>
        <v>0</v>
      </c>
      <c r="F67" s="15">
        <f>ROUND(D66*ROUND(((1+'CALCULADORA TIPS Pesos E-11'!$C$14)^(1/12)-1),6),6)</f>
        <v>0</v>
      </c>
      <c r="G67" s="15">
        <f t="shared" si="4"/>
        <v>0</v>
      </c>
      <c r="H67" s="28">
        <f>IF($B67=0,0,G67/POWER(1+'CALCULADORA TIPS Pesos E-11'!$F$11,Flujos!$B67/365))</f>
        <v>0</v>
      </c>
      <c r="I67" s="30">
        <f aca="true" t="shared" si="12" ref="I67:I130">+A67</f>
        <v>41925</v>
      </c>
      <c r="J67" s="25">
        <v>65</v>
      </c>
      <c r="K67" s="12">
        <f t="shared" si="5"/>
        <v>1978</v>
      </c>
      <c r="L67" s="94">
        <f t="shared" si="6"/>
        <v>3.635883331298828E-06</v>
      </c>
      <c r="M67" s="91">
        <f t="shared" si="7"/>
        <v>0</v>
      </c>
      <c r="N67" s="91">
        <f t="shared" si="8"/>
        <v>3.037780523300171E-08</v>
      </c>
      <c r="O67" s="92">
        <f t="shared" si="9"/>
        <v>3.037780523300171E-08</v>
      </c>
    </row>
    <row r="68" spans="1:15" ht="12.75">
      <c r="A68" s="4">
        <f t="shared" si="11"/>
        <v>41956</v>
      </c>
      <c r="B68" s="9">
        <f>IF(DIAS365('CALCULADORA TIPS Pesos E-11'!$E$6,A68)&lt;0,0,DIAS365('CALCULADORA TIPS Pesos E-11'!$E$6,A68))</f>
        <v>457</v>
      </c>
      <c r="C68" s="5">
        <f>+HLOOKUP('CALCULADORA TIPS Pesos E-11'!$E$4,Tablas!$B$1:$C$181,Flujos!J68+1,FALSE)</f>
        <v>0</v>
      </c>
      <c r="D68" s="14">
        <f aca="true" t="shared" si="13" ref="D68:D131">+ROUND(D67-E68,6)</f>
        <v>0</v>
      </c>
      <c r="E68" s="15">
        <f aca="true" t="shared" si="14" ref="E68:E131">ROUND(C68*$D$2,6)</f>
        <v>0</v>
      </c>
      <c r="F68" s="15">
        <f>ROUND(D67*ROUND(((1+'CALCULADORA TIPS Pesos E-11'!$C$14)^(1/12)-1),6),6)</f>
        <v>0</v>
      </c>
      <c r="G68" s="15">
        <f aca="true" t="shared" si="15" ref="G68:G131">F68+E68</f>
        <v>0</v>
      </c>
      <c r="H68" s="28">
        <f>IF($B68=0,0,G68/POWER(1+'CALCULADORA TIPS Pesos E-11'!$F$11,Flujos!$B68/365))</f>
        <v>0</v>
      </c>
      <c r="I68" s="30">
        <f t="shared" si="12"/>
        <v>41956</v>
      </c>
      <c r="J68" s="25">
        <v>66</v>
      </c>
      <c r="K68" s="12">
        <f aca="true" t="shared" si="16" ref="K68:K131">+DIAS365($A$2,A68)</f>
        <v>2009</v>
      </c>
      <c r="L68" s="94">
        <f aca="true" t="shared" si="17" ref="L68:L131">+L67-M68</f>
        <v>3.635883331298828E-06</v>
      </c>
      <c r="M68" s="91">
        <f aca="true" t="shared" si="18" ref="M68:M131">+$L$2*C68</f>
        <v>0</v>
      </c>
      <c r="N68" s="91">
        <f aca="true" t="shared" si="19" ref="N68:N131">+L67*$F$3%</f>
        <v>3.037780523300171E-08</v>
      </c>
      <c r="O68" s="92">
        <f aca="true" t="shared" si="20" ref="O68:O131">+N68+M68</f>
        <v>3.037780523300171E-08</v>
      </c>
    </row>
    <row r="69" spans="1:15" ht="12.75">
      <c r="A69" s="4">
        <f t="shared" si="11"/>
        <v>41986</v>
      </c>
      <c r="B69" s="9">
        <f>IF(DIAS365('CALCULADORA TIPS Pesos E-11'!$E$6,A69)&lt;0,0,DIAS365('CALCULADORA TIPS Pesos E-11'!$E$6,A69))</f>
        <v>487</v>
      </c>
      <c r="C69" s="5">
        <f>+HLOOKUP('CALCULADORA TIPS Pesos E-11'!$E$4,Tablas!$B$1:$C$181,Flujos!J69+1,FALSE)</f>
        <v>0</v>
      </c>
      <c r="D69" s="14">
        <f t="shared" si="13"/>
        <v>0</v>
      </c>
      <c r="E69" s="15">
        <f t="shared" si="14"/>
        <v>0</v>
      </c>
      <c r="F69" s="15">
        <f>ROUND(D68*ROUND(((1+'CALCULADORA TIPS Pesos E-11'!$C$14)^(1/12)-1),6),6)</f>
        <v>0</v>
      </c>
      <c r="G69" s="15">
        <f t="shared" si="15"/>
        <v>0</v>
      </c>
      <c r="H69" s="28">
        <f>IF($B69=0,0,G69/POWER(1+'CALCULADORA TIPS Pesos E-11'!$F$11,Flujos!$B69/365))</f>
        <v>0</v>
      </c>
      <c r="I69" s="30">
        <f t="shared" si="12"/>
        <v>41986</v>
      </c>
      <c r="J69" s="25">
        <v>67</v>
      </c>
      <c r="K69" s="12">
        <f t="shared" si="16"/>
        <v>2039</v>
      </c>
      <c r="L69" s="94">
        <f t="shared" si="17"/>
        <v>3.635883331298828E-06</v>
      </c>
      <c r="M69" s="91">
        <f t="shared" si="18"/>
        <v>0</v>
      </c>
      <c r="N69" s="91">
        <f t="shared" si="19"/>
        <v>3.037780523300171E-08</v>
      </c>
      <c r="O69" s="92">
        <f t="shared" si="20"/>
        <v>3.037780523300171E-08</v>
      </c>
    </row>
    <row r="70" spans="1:15" ht="12.75">
      <c r="A70" s="4">
        <f t="shared" si="11"/>
        <v>42017</v>
      </c>
      <c r="B70" s="9">
        <f>IF(DIAS365('CALCULADORA TIPS Pesos E-11'!$E$6,A70)&lt;0,0,DIAS365('CALCULADORA TIPS Pesos E-11'!$E$6,A70))</f>
        <v>518</v>
      </c>
      <c r="C70" s="5">
        <f>+HLOOKUP('CALCULADORA TIPS Pesos E-11'!$E$4,Tablas!$B$1:$C$181,Flujos!J70+1,FALSE)</f>
        <v>0</v>
      </c>
      <c r="D70" s="14">
        <f t="shared" si="13"/>
        <v>0</v>
      </c>
      <c r="E70" s="15">
        <f t="shared" si="14"/>
        <v>0</v>
      </c>
      <c r="F70" s="15">
        <f>ROUND(D69*ROUND(((1+'CALCULADORA TIPS Pesos E-11'!$C$14)^(1/12)-1),6),6)</f>
        <v>0</v>
      </c>
      <c r="G70" s="15">
        <f t="shared" si="15"/>
        <v>0</v>
      </c>
      <c r="H70" s="28">
        <f>IF($B70=0,0,G70/POWER(1+'CALCULADORA TIPS Pesos E-11'!$F$11,Flujos!$B70/365))</f>
        <v>0</v>
      </c>
      <c r="I70" s="30">
        <f t="shared" si="12"/>
        <v>42017</v>
      </c>
      <c r="J70" s="25">
        <v>68</v>
      </c>
      <c r="K70" s="12">
        <f t="shared" si="16"/>
        <v>2070</v>
      </c>
      <c r="L70" s="94">
        <f t="shared" si="17"/>
        <v>3.635883331298828E-06</v>
      </c>
      <c r="M70" s="91">
        <f t="shared" si="18"/>
        <v>0</v>
      </c>
      <c r="N70" s="91">
        <f t="shared" si="19"/>
        <v>3.037780523300171E-08</v>
      </c>
      <c r="O70" s="92">
        <f t="shared" si="20"/>
        <v>3.037780523300171E-08</v>
      </c>
    </row>
    <row r="71" spans="1:15" ht="12.75">
      <c r="A71" s="4">
        <f t="shared" si="11"/>
        <v>42048</v>
      </c>
      <c r="B71" s="9">
        <f>IF(DIAS365('CALCULADORA TIPS Pesos E-11'!$E$6,A71)&lt;0,0,DIAS365('CALCULADORA TIPS Pesos E-11'!$E$6,A71))</f>
        <v>549</v>
      </c>
      <c r="C71" s="5">
        <f>+HLOOKUP('CALCULADORA TIPS Pesos E-11'!$E$4,Tablas!$B$1:$C$181,Flujos!J71+1,FALSE)</f>
        <v>0</v>
      </c>
      <c r="D71" s="14">
        <f t="shared" si="13"/>
        <v>0</v>
      </c>
      <c r="E71" s="15">
        <f t="shared" si="14"/>
        <v>0</v>
      </c>
      <c r="F71" s="15">
        <f>ROUND(D70*ROUND(((1+'CALCULADORA TIPS Pesos E-11'!$C$14)^(1/12)-1),6),6)</f>
        <v>0</v>
      </c>
      <c r="G71" s="15">
        <f t="shared" si="15"/>
        <v>0</v>
      </c>
      <c r="H71" s="28">
        <f>IF($B71=0,0,G71/POWER(1+'CALCULADORA TIPS Pesos E-11'!$F$11,Flujos!$B71/365))</f>
        <v>0</v>
      </c>
      <c r="I71" s="30">
        <f t="shared" si="12"/>
        <v>42048</v>
      </c>
      <c r="J71" s="25">
        <v>69</v>
      </c>
      <c r="K71" s="12">
        <f t="shared" si="16"/>
        <v>2101</v>
      </c>
      <c r="L71" s="94">
        <f t="shared" si="17"/>
        <v>3.635883331298828E-06</v>
      </c>
      <c r="M71" s="91">
        <f t="shared" si="18"/>
        <v>0</v>
      </c>
      <c r="N71" s="91">
        <f t="shared" si="19"/>
        <v>3.037780523300171E-08</v>
      </c>
      <c r="O71" s="92">
        <f t="shared" si="20"/>
        <v>3.037780523300171E-08</v>
      </c>
    </row>
    <row r="72" spans="1:15" ht="12.75">
      <c r="A72" s="4">
        <f t="shared" si="11"/>
        <v>42076</v>
      </c>
      <c r="B72" s="9">
        <f>IF(DIAS365('CALCULADORA TIPS Pesos E-11'!$E$6,A72)&lt;0,0,DIAS365('CALCULADORA TIPS Pesos E-11'!$E$6,A72))</f>
        <v>577</v>
      </c>
      <c r="C72" s="5">
        <f>+HLOOKUP('CALCULADORA TIPS Pesos E-11'!$E$4,Tablas!$B$1:$C$181,Flujos!J72+1,FALSE)</f>
        <v>0</v>
      </c>
      <c r="D72" s="14">
        <f t="shared" si="13"/>
        <v>0</v>
      </c>
      <c r="E72" s="15">
        <f t="shared" si="14"/>
        <v>0</v>
      </c>
      <c r="F72" s="15">
        <f>ROUND(D71*ROUND(((1+'CALCULADORA TIPS Pesos E-11'!$C$14)^(1/12)-1),6),6)</f>
        <v>0</v>
      </c>
      <c r="G72" s="15">
        <f t="shared" si="15"/>
        <v>0</v>
      </c>
      <c r="H72" s="28">
        <f>IF($B72=0,0,G72/POWER(1+'CALCULADORA TIPS Pesos E-11'!$F$11,Flujos!$B72/365))</f>
        <v>0</v>
      </c>
      <c r="I72" s="30">
        <f t="shared" si="12"/>
        <v>42076</v>
      </c>
      <c r="J72" s="25">
        <v>70</v>
      </c>
      <c r="K72" s="12">
        <f t="shared" si="16"/>
        <v>2129</v>
      </c>
      <c r="L72" s="94">
        <f t="shared" si="17"/>
        <v>3.635883331298828E-06</v>
      </c>
      <c r="M72" s="91">
        <f t="shared" si="18"/>
        <v>0</v>
      </c>
      <c r="N72" s="91">
        <f t="shared" si="19"/>
        <v>3.037780523300171E-08</v>
      </c>
      <c r="O72" s="92">
        <f t="shared" si="20"/>
        <v>3.037780523300171E-08</v>
      </c>
    </row>
    <row r="73" spans="1:15" ht="12.75">
      <c r="A73" s="4">
        <f t="shared" si="11"/>
        <v>42107</v>
      </c>
      <c r="B73" s="9">
        <f>IF(DIAS365('CALCULADORA TIPS Pesos E-11'!$E$6,A73)&lt;0,0,DIAS365('CALCULADORA TIPS Pesos E-11'!$E$6,A73))</f>
        <v>608</v>
      </c>
      <c r="C73" s="5">
        <f>+HLOOKUP('CALCULADORA TIPS Pesos E-11'!$E$4,Tablas!$B$1:$C$181,Flujos!J73+1,FALSE)</f>
        <v>0</v>
      </c>
      <c r="D73" s="14">
        <f t="shared" si="13"/>
        <v>0</v>
      </c>
      <c r="E73" s="15">
        <f t="shared" si="14"/>
        <v>0</v>
      </c>
      <c r="F73" s="15">
        <f>ROUND(D72*ROUND(((1+'CALCULADORA TIPS Pesos E-11'!$C$14)^(1/12)-1),6),6)</f>
        <v>0</v>
      </c>
      <c r="G73" s="15">
        <f t="shared" si="15"/>
        <v>0</v>
      </c>
      <c r="H73" s="28">
        <f>IF($B73=0,0,G73/POWER(1+'CALCULADORA TIPS Pesos E-11'!$F$11,Flujos!$B73/365))</f>
        <v>0</v>
      </c>
      <c r="I73" s="30">
        <f t="shared" si="12"/>
        <v>42107</v>
      </c>
      <c r="J73" s="25">
        <v>71</v>
      </c>
      <c r="K73" s="12">
        <f t="shared" si="16"/>
        <v>2160</v>
      </c>
      <c r="L73" s="94">
        <f t="shared" si="17"/>
        <v>3.635883331298828E-06</v>
      </c>
      <c r="M73" s="91">
        <f t="shared" si="18"/>
        <v>0</v>
      </c>
      <c r="N73" s="91">
        <f t="shared" si="19"/>
        <v>3.037780523300171E-08</v>
      </c>
      <c r="O73" s="92">
        <f t="shared" si="20"/>
        <v>3.037780523300171E-08</v>
      </c>
    </row>
    <row r="74" spans="1:15" ht="12.75">
      <c r="A74" s="4">
        <f t="shared" si="11"/>
        <v>42137</v>
      </c>
      <c r="B74" s="9">
        <f>IF(DIAS365('CALCULADORA TIPS Pesos E-11'!$E$6,A74)&lt;0,0,DIAS365('CALCULADORA TIPS Pesos E-11'!$E$6,A74))</f>
        <v>638</v>
      </c>
      <c r="C74" s="5">
        <f>+HLOOKUP('CALCULADORA TIPS Pesos E-11'!$E$4,Tablas!$B$1:$C$181,Flujos!J74+1,FALSE)</f>
        <v>0</v>
      </c>
      <c r="D74" s="14">
        <f t="shared" si="13"/>
        <v>0</v>
      </c>
      <c r="E74" s="15">
        <f t="shared" si="14"/>
        <v>0</v>
      </c>
      <c r="F74" s="15">
        <f>ROUND(D73*ROUND(((1+'CALCULADORA TIPS Pesos E-11'!$C$14)^(1/12)-1),6),6)</f>
        <v>0</v>
      </c>
      <c r="G74" s="15">
        <f t="shared" si="15"/>
        <v>0</v>
      </c>
      <c r="H74" s="28">
        <f>IF($B74=0,0,G74/POWER(1+'CALCULADORA TIPS Pesos E-11'!$F$11,Flujos!$B74/365))</f>
        <v>0</v>
      </c>
      <c r="I74" s="30">
        <f t="shared" si="12"/>
        <v>42137</v>
      </c>
      <c r="J74" s="25">
        <v>72</v>
      </c>
      <c r="K74" s="12">
        <f t="shared" si="16"/>
        <v>2190</v>
      </c>
      <c r="L74" s="94">
        <f t="shared" si="17"/>
        <v>3.635883331298828E-06</v>
      </c>
      <c r="M74" s="91">
        <f t="shared" si="18"/>
        <v>0</v>
      </c>
      <c r="N74" s="91">
        <f t="shared" si="19"/>
        <v>3.037780523300171E-08</v>
      </c>
      <c r="O74" s="92">
        <f t="shared" si="20"/>
        <v>3.037780523300171E-08</v>
      </c>
    </row>
    <row r="75" spans="1:15" ht="12.75">
      <c r="A75" s="4">
        <f t="shared" si="11"/>
        <v>42168</v>
      </c>
      <c r="B75" s="9">
        <f>IF(DIAS365('CALCULADORA TIPS Pesos E-11'!$E$6,A75)&lt;0,0,DIAS365('CALCULADORA TIPS Pesos E-11'!$E$6,A75))</f>
        <v>669</v>
      </c>
      <c r="C75" s="5">
        <f>+HLOOKUP('CALCULADORA TIPS Pesos E-11'!$E$4,Tablas!$B$1:$C$181,Flujos!J75+1,FALSE)</f>
        <v>0</v>
      </c>
      <c r="D75" s="14">
        <f t="shared" si="13"/>
        <v>0</v>
      </c>
      <c r="E75" s="15">
        <f t="shared" si="14"/>
        <v>0</v>
      </c>
      <c r="F75" s="15">
        <f>ROUND(D74*ROUND(((1+'CALCULADORA TIPS Pesos E-11'!$C$14)^(1/12)-1),6),6)</f>
        <v>0</v>
      </c>
      <c r="G75" s="15">
        <f t="shared" si="15"/>
        <v>0</v>
      </c>
      <c r="H75" s="28">
        <f>IF($B75=0,0,G75/POWER(1+'CALCULADORA TIPS Pesos E-11'!$F$11,Flujos!$B75/365))</f>
        <v>0</v>
      </c>
      <c r="I75" s="30">
        <f t="shared" si="12"/>
        <v>42168</v>
      </c>
      <c r="J75" s="25">
        <v>73</v>
      </c>
      <c r="K75" s="12">
        <f t="shared" si="16"/>
        <v>2221</v>
      </c>
      <c r="L75" s="94">
        <f t="shared" si="17"/>
        <v>3.635883331298828E-06</v>
      </c>
      <c r="M75" s="91">
        <f t="shared" si="18"/>
        <v>0</v>
      </c>
      <c r="N75" s="91">
        <f t="shared" si="19"/>
        <v>3.037780523300171E-08</v>
      </c>
      <c r="O75" s="92">
        <f t="shared" si="20"/>
        <v>3.037780523300171E-08</v>
      </c>
    </row>
    <row r="76" spans="1:15" ht="12.75">
      <c r="A76" s="4">
        <f t="shared" si="11"/>
        <v>42198</v>
      </c>
      <c r="B76" s="9">
        <f>IF(DIAS365('CALCULADORA TIPS Pesos E-11'!$E$6,A76)&lt;0,0,DIAS365('CALCULADORA TIPS Pesos E-11'!$E$6,A76))</f>
        <v>699</v>
      </c>
      <c r="C76" s="5">
        <f>+HLOOKUP('CALCULADORA TIPS Pesos E-11'!$E$4,Tablas!$B$1:$C$181,Flujos!J76+1,FALSE)</f>
        <v>0</v>
      </c>
      <c r="D76" s="14">
        <f t="shared" si="13"/>
        <v>0</v>
      </c>
      <c r="E76" s="15">
        <f t="shared" si="14"/>
        <v>0</v>
      </c>
      <c r="F76" s="15">
        <f>ROUND(D75*ROUND(((1+'CALCULADORA TIPS Pesos E-11'!$C$14)^(1/12)-1),6),6)</f>
        <v>0</v>
      </c>
      <c r="G76" s="15">
        <f t="shared" si="15"/>
        <v>0</v>
      </c>
      <c r="H76" s="28">
        <f>IF($B76=0,0,G76/POWER(1+'CALCULADORA TIPS Pesos E-11'!$F$11,Flujos!$B76/365))</f>
        <v>0</v>
      </c>
      <c r="I76" s="30">
        <f t="shared" si="12"/>
        <v>42198</v>
      </c>
      <c r="J76" s="25">
        <v>74</v>
      </c>
      <c r="K76" s="12">
        <f t="shared" si="16"/>
        <v>2251</v>
      </c>
      <c r="L76" s="94">
        <f t="shared" si="17"/>
        <v>3.635883331298828E-06</v>
      </c>
      <c r="M76" s="91">
        <f t="shared" si="18"/>
        <v>0</v>
      </c>
      <c r="N76" s="91">
        <f t="shared" si="19"/>
        <v>3.037780523300171E-08</v>
      </c>
      <c r="O76" s="92">
        <f t="shared" si="20"/>
        <v>3.037780523300171E-08</v>
      </c>
    </row>
    <row r="77" spans="1:15" ht="12.75">
      <c r="A77" s="4">
        <f t="shared" si="11"/>
        <v>42229</v>
      </c>
      <c r="B77" s="9">
        <f>IF(DIAS365('CALCULADORA TIPS Pesos E-11'!$E$6,A77)&lt;0,0,DIAS365('CALCULADORA TIPS Pesos E-11'!$E$6,A77))</f>
        <v>730</v>
      </c>
      <c r="C77" s="5">
        <f>+HLOOKUP('CALCULADORA TIPS Pesos E-11'!$E$4,Tablas!$B$1:$C$181,Flujos!J77+1,FALSE)</f>
        <v>0</v>
      </c>
      <c r="D77" s="14">
        <f t="shared" si="13"/>
        <v>0</v>
      </c>
      <c r="E77" s="15">
        <f t="shared" si="14"/>
        <v>0</v>
      </c>
      <c r="F77" s="15">
        <f>ROUND(D76*ROUND(((1+'CALCULADORA TIPS Pesos E-11'!$C$14)^(1/12)-1),6),6)</f>
        <v>0</v>
      </c>
      <c r="G77" s="15">
        <f t="shared" si="15"/>
        <v>0</v>
      </c>
      <c r="H77" s="28">
        <f>IF($B77=0,0,G77/POWER(1+'CALCULADORA TIPS Pesos E-11'!$F$11,Flujos!$B77/365))</f>
        <v>0</v>
      </c>
      <c r="I77" s="30">
        <f t="shared" si="12"/>
        <v>42229</v>
      </c>
      <c r="J77" s="25">
        <v>75</v>
      </c>
      <c r="K77" s="12">
        <f t="shared" si="16"/>
        <v>2282</v>
      </c>
      <c r="L77" s="94">
        <f t="shared" si="17"/>
        <v>3.635883331298828E-06</v>
      </c>
      <c r="M77" s="91">
        <f t="shared" si="18"/>
        <v>0</v>
      </c>
      <c r="N77" s="91">
        <f t="shared" si="19"/>
        <v>3.037780523300171E-08</v>
      </c>
      <c r="O77" s="92">
        <f t="shared" si="20"/>
        <v>3.037780523300171E-08</v>
      </c>
    </row>
    <row r="78" spans="1:15" ht="12.75">
      <c r="A78" s="4">
        <f t="shared" si="11"/>
        <v>42260</v>
      </c>
      <c r="B78" s="9">
        <f>IF(DIAS365('CALCULADORA TIPS Pesos E-11'!$E$6,A78)&lt;0,0,DIAS365('CALCULADORA TIPS Pesos E-11'!$E$6,A78))</f>
        <v>761</v>
      </c>
      <c r="C78" s="5">
        <f>+HLOOKUP('CALCULADORA TIPS Pesos E-11'!$E$4,Tablas!$B$1:$C$181,Flujos!J78+1,FALSE)</f>
        <v>0</v>
      </c>
      <c r="D78" s="14">
        <f t="shared" si="13"/>
        <v>0</v>
      </c>
      <c r="E78" s="15">
        <f t="shared" si="14"/>
        <v>0</v>
      </c>
      <c r="F78" s="15">
        <f>ROUND(D77*ROUND(((1+'CALCULADORA TIPS Pesos E-11'!$C$14)^(1/12)-1),6),6)</f>
        <v>0</v>
      </c>
      <c r="G78" s="15">
        <f t="shared" si="15"/>
        <v>0</v>
      </c>
      <c r="H78" s="28">
        <f>IF($B78=0,0,G78/POWER(1+'CALCULADORA TIPS Pesos E-11'!$F$11,Flujos!$B78/365))</f>
        <v>0</v>
      </c>
      <c r="I78" s="30">
        <f t="shared" si="12"/>
        <v>42260</v>
      </c>
      <c r="J78" s="25">
        <v>76</v>
      </c>
      <c r="K78" s="12">
        <f t="shared" si="16"/>
        <v>2313</v>
      </c>
      <c r="L78" s="94">
        <f t="shared" si="17"/>
        <v>3.635883331298828E-06</v>
      </c>
      <c r="M78" s="91">
        <f t="shared" si="18"/>
        <v>0</v>
      </c>
      <c r="N78" s="91">
        <f t="shared" si="19"/>
        <v>3.037780523300171E-08</v>
      </c>
      <c r="O78" s="92">
        <f t="shared" si="20"/>
        <v>3.037780523300171E-08</v>
      </c>
    </row>
    <row r="79" spans="1:15" ht="12.75">
      <c r="A79" s="4">
        <f t="shared" si="11"/>
        <v>42290</v>
      </c>
      <c r="B79" s="9">
        <f>IF(DIAS365('CALCULADORA TIPS Pesos E-11'!$E$6,A79)&lt;0,0,DIAS365('CALCULADORA TIPS Pesos E-11'!$E$6,A79))</f>
        <v>791</v>
      </c>
      <c r="C79" s="5">
        <f>+HLOOKUP('CALCULADORA TIPS Pesos E-11'!$E$4,Tablas!$B$1:$C$181,Flujos!J79+1,FALSE)</f>
        <v>0</v>
      </c>
      <c r="D79" s="14">
        <f t="shared" si="13"/>
        <v>0</v>
      </c>
      <c r="E79" s="15">
        <f t="shared" si="14"/>
        <v>0</v>
      </c>
      <c r="F79" s="15">
        <f>ROUND(D78*ROUND(((1+'CALCULADORA TIPS Pesos E-11'!$C$14)^(1/12)-1),6),6)</f>
        <v>0</v>
      </c>
      <c r="G79" s="15">
        <f t="shared" si="15"/>
        <v>0</v>
      </c>
      <c r="H79" s="28">
        <f>IF($B79=0,0,G79/POWER(1+'CALCULADORA TIPS Pesos E-11'!$F$11,Flujos!$B79/365))</f>
        <v>0</v>
      </c>
      <c r="I79" s="30">
        <f t="shared" si="12"/>
        <v>42290</v>
      </c>
      <c r="J79" s="25">
        <v>77</v>
      </c>
      <c r="K79" s="12">
        <f t="shared" si="16"/>
        <v>2343</v>
      </c>
      <c r="L79" s="94">
        <f t="shared" si="17"/>
        <v>3.635883331298828E-06</v>
      </c>
      <c r="M79" s="91">
        <f t="shared" si="18"/>
        <v>0</v>
      </c>
      <c r="N79" s="91">
        <f t="shared" si="19"/>
        <v>3.037780523300171E-08</v>
      </c>
      <c r="O79" s="92">
        <f t="shared" si="20"/>
        <v>3.037780523300171E-08</v>
      </c>
    </row>
    <row r="80" spans="1:15" ht="12.75">
      <c r="A80" s="4">
        <f t="shared" si="11"/>
        <v>42321</v>
      </c>
      <c r="B80" s="9">
        <f>IF(DIAS365('CALCULADORA TIPS Pesos E-11'!$E$6,A80)&lt;0,0,DIAS365('CALCULADORA TIPS Pesos E-11'!$E$6,A80))</f>
        <v>822</v>
      </c>
      <c r="C80" s="5">
        <f>+HLOOKUP('CALCULADORA TIPS Pesos E-11'!$E$4,Tablas!$B$1:$C$181,Flujos!J80+1,FALSE)</f>
        <v>0</v>
      </c>
      <c r="D80" s="14">
        <f t="shared" si="13"/>
        <v>0</v>
      </c>
      <c r="E80" s="15">
        <f t="shared" si="14"/>
        <v>0</v>
      </c>
      <c r="F80" s="15">
        <f>ROUND(D79*ROUND(((1+'CALCULADORA TIPS Pesos E-11'!$C$14)^(1/12)-1),6),6)</f>
        <v>0</v>
      </c>
      <c r="G80" s="15">
        <f t="shared" si="15"/>
        <v>0</v>
      </c>
      <c r="H80" s="28">
        <f>IF($B80=0,0,G80/POWER(1+'CALCULADORA TIPS Pesos E-11'!$F$11,Flujos!$B80/365))</f>
        <v>0</v>
      </c>
      <c r="I80" s="30">
        <f t="shared" si="12"/>
        <v>42321</v>
      </c>
      <c r="J80" s="25">
        <v>78</v>
      </c>
      <c r="K80" s="12">
        <f t="shared" si="16"/>
        <v>2374</v>
      </c>
      <c r="L80" s="94">
        <f t="shared" si="17"/>
        <v>3.635883331298828E-06</v>
      </c>
      <c r="M80" s="91">
        <f t="shared" si="18"/>
        <v>0</v>
      </c>
      <c r="N80" s="91">
        <f t="shared" si="19"/>
        <v>3.037780523300171E-08</v>
      </c>
      <c r="O80" s="92">
        <f t="shared" si="20"/>
        <v>3.037780523300171E-08</v>
      </c>
    </row>
    <row r="81" spans="1:15" ht="12.75">
      <c r="A81" s="4">
        <f t="shared" si="11"/>
        <v>42351</v>
      </c>
      <c r="B81" s="9">
        <f>IF(DIAS365('CALCULADORA TIPS Pesos E-11'!$E$6,A81)&lt;0,0,DIAS365('CALCULADORA TIPS Pesos E-11'!$E$6,A81))</f>
        <v>852</v>
      </c>
      <c r="C81" s="5">
        <f>+HLOOKUP('CALCULADORA TIPS Pesos E-11'!$E$4,Tablas!$B$1:$C$181,Flujos!J81+1,FALSE)</f>
        <v>0</v>
      </c>
      <c r="D81" s="15">
        <f t="shared" si="13"/>
        <v>0</v>
      </c>
      <c r="E81" s="15">
        <f t="shared" si="14"/>
        <v>0</v>
      </c>
      <c r="F81" s="15">
        <f>ROUND(D80*ROUND(((1+'CALCULADORA TIPS Pesos E-11'!$C$14)^(1/12)-1),6),6)</f>
        <v>0</v>
      </c>
      <c r="G81" s="15">
        <f t="shared" si="15"/>
        <v>0</v>
      </c>
      <c r="H81" s="28">
        <f>IF($B81=0,0,G81/POWER(1+'CALCULADORA TIPS Pesos E-11'!$F$11,Flujos!$B81/365))</f>
        <v>0</v>
      </c>
      <c r="I81" s="30">
        <f t="shared" si="12"/>
        <v>42351</v>
      </c>
      <c r="J81" s="25">
        <v>79</v>
      </c>
      <c r="K81" s="12">
        <f t="shared" si="16"/>
        <v>2404</v>
      </c>
      <c r="L81" s="94">
        <f t="shared" si="17"/>
        <v>3.635883331298828E-06</v>
      </c>
      <c r="M81" s="91">
        <f t="shared" si="18"/>
        <v>0</v>
      </c>
      <c r="N81" s="91">
        <f t="shared" si="19"/>
        <v>3.037780523300171E-08</v>
      </c>
      <c r="O81" s="92">
        <f t="shared" si="20"/>
        <v>3.037780523300171E-08</v>
      </c>
    </row>
    <row r="82" spans="1:15" ht="12.75">
      <c r="A82" s="4">
        <f t="shared" si="11"/>
        <v>42382</v>
      </c>
      <c r="B82" s="9">
        <f>IF(DIAS365('CALCULADORA TIPS Pesos E-11'!$E$6,A82)&lt;0,0,DIAS365('CALCULADORA TIPS Pesos E-11'!$E$6,A82))</f>
        <v>883</v>
      </c>
      <c r="C82" s="5">
        <f>+HLOOKUP('CALCULADORA TIPS Pesos E-11'!$E$4,Tablas!$B$1:$C$181,Flujos!J82+1,FALSE)</f>
        <v>0</v>
      </c>
      <c r="D82" s="14">
        <f t="shared" si="13"/>
        <v>0</v>
      </c>
      <c r="E82" s="15">
        <f t="shared" si="14"/>
        <v>0</v>
      </c>
      <c r="F82" s="15">
        <f>ROUND(D81*ROUND(((1+'CALCULADORA TIPS Pesos E-11'!$C$14)^(1/12)-1),6),6)</f>
        <v>0</v>
      </c>
      <c r="G82" s="15">
        <f t="shared" si="15"/>
        <v>0</v>
      </c>
      <c r="H82" s="28">
        <f>IF($B82=0,0,G82/POWER(1+'CALCULADORA TIPS Pesos E-11'!$F$11,Flujos!$B82/365))</f>
        <v>0</v>
      </c>
      <c r="I82" s="30">
        <f t="shared" si="12"/>
        <v>42382</v>
      </c>
      <c r="J82" s="25">
        <v>80</v>
      </c>
      <c r="K82" s="12">
        <f t="shared" si="16"/>
        <v>2435</v>
      </c>
      <c r="L82" s="94">
        <f t="shared" si="17"/>
        <v>3.635883331298828E-06</v>
      </c>
      <c r="M82" s="91">
        <f t="shared" si="18"/>
        <v>0</v>
      </c>
      <c r="N82" s="91">
        <f t="shared" si="19"/>
        <v>3.037780523300171E-08</v>
      </c>
      <c r="O82" s="92">
        <f t="shared" si="20"/>
        <v>3.037780523300171E-08</v>
      </c>
    </row>
    <row r="83" spans="1:15" ht="12.75">
      <c r="A83" s="4">
        <f t="shared" si="11"/>
        <v>42413</v>
      </c>
      <c r="B83" s="9">
        <f>IF(DIAS365('CALCULADORA TIPS Pesos E-11'!$E$6,A83)&lt;0,0,DIAS365('CALCULADORA TIPS Pesos E-11'!$E$6,A83))</f>
        <v>914</v>
      </c>
      <c r="C83" s="5">
        <f>+HLOOKUP('CALCULADORA TIPS Pesos E-11'!$E$4,Tablas!$B$1:$C$181,Flujos!J83+1,FALSE)</f>
        <v>0</v>
      </c>
      <c r="D83" s="14">
        <f t="shared" si="13"/>
        <v>0</v>
      </c>
      <c r="E83" s="15">
        <f t="shared" si="14"/>
        <v>0</v>
      </c>
      <c r="F83" s="15">
        <f>ROUND(D82*ROUND(((1+'CALCULADORA TIPS Pesos E-11'!$C$14)^(1/12)-1),6),6)</f>
        <v>0</v>
      </c>
      <c r="G83" s="15">
        <f t="shared" si="15"/>
        <v>0</v>
      </c>
      <c r="H83" s="28">
        <f>IF($B83=0,0,G83/POWER(1+'CALCULADORA TIPS Pesos E-11'!$F$11,Flujos!$B83/365))</f>
        <v>0</v>
      </c>
      <c r="I83" s="30">
        <f t="shared" si="12"/>
        <v>42413</v>
      </c>
      <c r="J83" s="25">
        <v>81</v>
      </c>
      <c r="K83" s="12">
        <f t="shared" si="16"/>
        <v>2466</v>
      </c>
      <c r="L83" s="94">
        <f t="shared" si="17"/>
        <v>3.635883331298828E-06</v>
      </c>
      <c r="M83" s="91">
        <f t="shared" si="18"/>
        <v>0</v>
      </c>
      <c r="N83" s="91">
        <f t="shared" si="19"/>
        <v>3.037780523300171E-08</v>
      </c>
      <c r="O83" s="92">
        <f t="shared" si="20"/>
        <v>3.037780523300171E-08</v>
      </c>
    </row>
    <row r="84" spans="1:15" ht="12.75">
      <c r="A84" s="4">
        <f t="shared" si="11"/>
        <v>42442</v>
      </c>
      <c r="B84" s="9">
        <f>IF(DIAS365('CALCULADORA TIPS Pesos E-11'!$E$6,A84)&lt;0,0,DIAS365('CALCULADORA TIPS Pesos E-11'!$E$6,A84))</f>
        <v>942</v>
      </c>
      <c r="C84" s="5">
        <f>+HLOOKUP('CALCULADORA TIPS Pesos E-11'!$E$4,Tablas!$B$1:$C$181,Flujos!J84+1,FALSE)</f>
        <v>0</v>
      </c>
      <c r="D84" s="14">
        <f t="shared" si="13"/>
        <v>0</v>
      </c>
      <c r="E84" s="15">
        <f t="shared" si="14"/>
        <v>0</v>
      </c>
      <c r="F84" s="15">
        <f>ROUND(D83*ROUND(((1+'CALCULADORA TIPS Pesos E-11'!$C$14)^(1/12)-1),6),6)</f>
        <v>0</v>
      </c>
      <c r="G84" s="15">
        <f t="shared" si="15"/>
        <v>0</v>
      </c>
      <c r="H84" s="28">
        <f>IF($B84=0,0,G84/POWER(1+'CALCULADORA TIPS Pesos E-11'!$F$11,Flujos!$B84/365))</f>
        <v>0</v>
      </c>
      <c r="I84" s="30">
        <f t="shared" si="12"/>
        <v>42442</v>
      </c>
      <c r="J84" s="25">
        <v>82</v>
      </c>
      <c r="K84" s="12">
        <f t="shared" si="16"/>
        <v>2494</v>
      </c>
      <c r="L84" s="94">
        <f t="shared" si="17"/>
        <v>3.635883331298828E-06</v>
      </c>
      <c r="M84" s="91">
        <f t="shared" si="18"/>
        <v>0</v>
      </c>
      <c r="N84" s="91">
        <f t="shared" si="19"/>
        <v>3.037780523300171E-08</v>
      </c>
      <c r="O84" s="92">
        <f t="shared" si="20"/>
        <v>3.037780523300171E-08</v>
      </c>
    </row>
    <row r="85" spans="1:15" ht="12.75">
      <c r="A85" s="4">
        <f t="shared" si="11"/>
        <v>42473</v>
      </c>
      <c r="B85" s="9">
        <f>IF(DIAS365('CALCULADORA TIPS Pesos E-11'!$E$6,A85)&lt;0,0,DIAS365('CALCULADORA TIPS Pesos E-11'!$E$6,A85))</f>
        <v>973</v>
      </c>
      <c r="C85" s="5">
        <f>+HLOOKUP('CALCULADORA TIPS Pesos E-11'!$E$4,Tablas!$B$1:$C$181,Flujos!J85+1,FALSE)</f>
        <v>0</v>
      </c>
      <c r="D85" s="14">
        <f t="shared" si="13"/>
        <v>0</v>
      </c>
      <c r="E85" s="15">
        <f t="shared" si="14"/>
        <v>0</v>
      </c>
      <c r="F85" s="15">
        <f>ROUND(D84*ROUND(((1+'CALCULADORA TIPS Pesos E-11'!$C$14)^(1/12)-1),6),6)</f>
        <v>0</v>
      </c>
      <c r="G85" s="15">
        <f t="shared" si="15"/>
        <v>0</v>
      </c>
      <c r="H85" s="28">
        <f>IF($B85=0,0,G85/POWER(1+'CALCULADORA TIPS Pesos E-11'!$F$11,Flujos!$B85/365))</f>
        <v>0</v>
      </c>
      <c r="I85" s="30">
        <f t="shared" si="12"/>
        <v>42473</v>
      </c>
      <c r="J85" s="25">
        <v>83</v>
      </c>
      <c r="K85" s="12">
        <f t="shared" si="16"/>
        <v>2525</v>
      </c>
      <c r="L85" s="94">
        <f t="shared" si="17"/>
        <v>3.635883331298828E-06</v>
      </c>
      <c r="M85" s="91">
        <f t="shared" si="18"/>
        <v>0</v>
      </c>
      <c r="N85" s="91">
        <f t="shared" si="19"/>
        <v>3.037780523300171E-08</v>
      </c>
      <c r="O85" s="92">
        <f t="shared" si="20"/>
        <v>3.037780523300171E-08</v>
      </c>
    </row>
    <row r="86" spans="1:15" ht="12.75">
      <c r="A86" s="4">
        <f t="shared" si="11"/>
        <v>42503</v>
      </c>
      <c r="B86" s="9">
        <f>IF(DIAS365('CALCULADORA TIPS Pesos E-11'!$E$6,A86)&lt;0,0,DIAS365('CALCULADORA TIPS Pesos E-11'!$E$6,A86))</f>
        <v>1003</v>
      </c>
      <c r="C86" s="5">
        <f>+HLOOKUP('CALCULADORA TIPS Pesos E-11'!$E$4,Tablas!$B$1:$C$181,Flujos!J86+1,FALSE)</f>
        <v>0</v>
      </c>
      <c r="D86" s="14">
        <f t="shared" si="13"/>
        <v>0</v>
      </c>
      <c r="E86" s="15">
        <f t="shared" si="14"/>
        <v>0</v>
      </c>
      <c r="F86" s="15">
        <f>ROUND(D85*ROUND(((1+'CALCULADORA TIPS Pesos E-11'!$C$14)^(1/12)-1),6),6)</f>
        <v>0</v>
      </c>
      <c r="G86" s="15">
        <f t="shared" si="15"/>
        <v>0</v>
      </c>
      <c r="H86" s="28">
        <f>IF($B86=0,0,G86/POWER(1+'CALCULADORA TIPS Pesos E-11'!$F$11,Flujos!$B86/365))</f>
        <v>0</v>
      </c>
      <c r="I86" s="30">
        <f t="shared" si="12"/>
        <v>42503</v>
      </c>
      <c r="J86" s="25">
        <v>84</v>
      </c>
      <c r="K86" s="12">
        <f t="shared" si="16"/>
        <v>2555</v>
      </c>
      <c r="L86" s="94">
        <f t="shared" si="17"/>
        <v>3.635883331298828E-06</v>
      </c>
      <c r="M86" s="91">
        <f t="shared" si="18"/>
        <v>0</v>
      </c>
      <c r="N86" s="91">
        <f t="shared" si="19"/>
        <v>3.037780523300171E-08</v>
      </c>
      <c r="O86" s="92">
        <f t="shared" si="20"/>
        <v>3.037780523300171E-08</v>
      </c>
    </row>
    <row r="87" spans="1:15" ht="12.75">
      <c r="A87" s="4">
        <f t="shared" si="11"/>
        <v>42534</v>
      </c>
      <c r="B87" s="9">
        <f>IF(DIAS365('CALCULADORA TIPS Pesos E-11'!$E$6,A87)&lt;0,0,DIAS365('CALCULADORA TIPS Pesos E-11'!$E$6,A87))</f>
        <v>1034</v>
      </c>
      <c r="C87" s="5">
        <f>+HLOOKUP('CALCULADORA TIPS Pesos E-11'!$E$4,Tablas!$B$1:$C$181,Flujos!J87+1,FALSE)</f>
        <v>0</v>
      </c>
      <c r="D87" s="14">
        <f t="shared" si="13"/>
        <v>0</v>
      </c>
      <c r="E87" s="15">
        <f t="shared" si="14"/>
        <v>0</v>
      </c>
      <c r="F87" s="15">
        <f>ROUND(D86*ROUND(((1+'CALCULADORA TIPS Pesos E-11'!$C$14)^(1/12)-1),6),6)</f>
        <v>0</v>
      </c>
      <c r="G87" s="15">
        <f t="shared" si="15"/>
        <v>0</v>
      </c>
      <c r="H87" s="28">
        <f>IF($B87=0,0,G87/POWER(1+'CALCULADORA TIPS Pesos E-11'!$F$11,Flujos!$B87/365))</f>
        <v>0</v>
      </c>
      <c r="I87" s="30">
        <f t="shared" si="12"/>
        <v>42534</v>
      </c>
      <c r="J87" s="25">
        <v>85</v>
      </c>
      <c r="K87" s="12">
        <f t="shared" si="16"/>
        <v>2586</v>
      </c>
      <c r="L87" s="94">
        <f t="shared" si="17"/>
        <v>3.635883331298828E-06</v>
      </c>
      <c r="M87" s="91">
        <f t="shared" si="18"/>
        <v>0</v>
      </c>
      <c r="N87" s="91">
        <f t="shared" si="19"/>
        <v>3.037780523300171E-08</v>
      </c>
      <c r="O87" s="92">
        <f t="shared" si="20"/>
        <v>3.037780523300171E-08</v>
      </c>
    </row>
    <row r="88" spans="1:15" ht="12.75">
      <c r="A88" s="4">
        <f t="shared" si="11"/>
        <v>42564</v>
      </c>
      <c r="B88" s="9">
        <f>IF(DIAS365('CALCULADORA TIPS Pesos E-11'!$E$6,A88)&lt;0,0,DIAS365('CALCULADORA TIPS Pesos E-11'!$E$6,A88))</f>
        <v>1064</v>
      </c>
      <c r="C88" s="5">
        <f>+HLOOKUP('CALCULADORA TIPS Pesos E-11'!$E$4,Tablas!$B$1:$C$181,Flujos!J88+1,FALSE)</f>
        <v>0</v>
      </c>
      <c r="D88" s="14">
        <f t="shared" si="13"/>
        <v>0</v>
      </c>
      <c r="E88" s="15">
        <f t="shared" si="14"/>
        <v>0</v>
      </c>
      <c r="F88" s="15">
        <f>ROUND(D87*ROUND(((1+'CALCULADORA TIPS Pesos E-11'!$C$14)^(1/12)-1),6),6)</f>
        <v>0</v>
      </c>
      <c r="G88" s="15">
        <f t="shared" si="15"/>
        <v>0</v>
      </c>
      <c r="H88" s="28">
        <f>IF($B88=0,0,G88/POWER(1+'CALCULADORA TIPS Pesos E-11'!$F$11,Flujos!$B88/365))</f>
        <v>0</v>
      </c>
      <c r="I88" s="30">
        <f t="shared" si="12"/>
        <v>42564</v>
      </c>
      <c r="J88" s="25">
        <v>86</v>
      </c>
      <c r="K88" s="12">
        <f t="shared" si="16"/>
        <v>2616</v>
      </c>
      <c r="L88" s="94">
        <f t="shared" si="17"/>
        <v>3.635883331298828E-06</v>
      </c>
      <c r="M88" s="91">
        <f t="shared" si="18"/>
        <v>0</v>
      </c>
      <c r="N88" s="91">
        <f t="shared" si="19"/>
        <v>3.037780523300171E-08</v>
      </c>
      <c r="O88" s="92">
        <f t="shared" si="20"/>
        <v>3.037780523300171E-08</v>
      </c>
    </row>
    <row r="89" spans="1:15" ht="12.75">
      <c r="A89" s="4">
        <f t="shared" si="11"/>
        <v>42595</v>
      </c>
      <c r="B89" s="9">
        <f>IF(DIAS365('CALCULADORA TIPS Pesos E-11'!$E$6,A89)&lt;0,0,DIAS365('CALCULADORA TIPS Pesos E-11'!$E$6,A89))</f>
        <v>1095</v>
      </c>
      <c r="C89" s="5">
        <f>+HLOOKUP('CALCULADORA TIPS Pesos E-11'!$E$4,Tablas!$B$1:$C$181,Flujos!J89+1,FALSE)</f>
        <v>0</v>
      </c>
      <c r="D89" s="14">
        <f t="shared" si="13"/>
        <v>0</v>
      </c>
      <c r="E89" s="15">
        <f t="shared" si="14"/>
        <v>0</v>
      </c>
      <c r="F89" s="15">
        <f>ROUND(D88*ROUND(((1+'CALCULADORA TIPS Pesos E-11'!$C$14)^(1/12)-1),6),6)</f>
        <v>0</v>
      </c>
      <c r="G89" s="15">
        <f t="shared" si="15"/>
        <v>0</v>
      </c>
      <c r="H89" s="28">
        <f>IF($B89=0,0,G89/POWER(1+'CALCULADORA TIPS Pesos E-11'!$F$11,Flujos!$B89/365))</f>
        <v>0</v>
      </c>
      <c r="I89" s="30">
        <f t="shared" si="12"/>
        <v>42595</v>
      </c>
      <c r="J89" s="25">
        <v>87</v>
      </c>
      <c r="K89" s="12">
        <f t="shared" si="16"/>
        <v>2647</v>
      </c>
      <c r="L89" s="94">
        <f t="shared" si="17"/>
        <v>3.635883331298828E-06</v>
      </c>
      <c r="M89" s="91">
        <f t="shared" si="18"/>
        <v>0</v>
      </c>
      <c r="N89" s="91">
        <f t="shared" si="19"/>
        <v>3.037780523300171E-08</v>
      </c>
      <c r="O89" s="92">
        <f t="shared" si="20"/>
        <v>3.037780523300171E-08</v>
      </c>
    </row>
    <row r="90" spans="1:15" ht="12.75">
      <c r="A90" s="4">
        <f t="shared" si="11"/>
        <v>42626</v>
      </c>
      <c r="B90" s="9">
        <f>IF(DIAS365('CALCULADORA TIPS Pesos E-11'!$E$6,A90)&lt;0,0,DIAS365('CALCULADORA TIPS Pesos E-11'!$E$6,A90))</f>
        <v>1126</v>
      </c>
      <c r="C90" s="5">
        <f>+HLOOKUP('CALCULADORA TIPS Pesos E-11'!$E$4,Tablas!$B$1:$C$181,Flujos!J90+1,FALSE)</f>
        <v>0</v>
      </c>
      <c r="D90" s="14">
        <f t="shared" si="13"/>
        <v>0</v>
      </c>
      <c r="E90" s="15">
        <f t="shared" si="14"/>
        <v>0</v>
      </c>
      <c r="F90" s="15">
        <f>ROUND(D89*ROUND(((1+'CALCULADORA TIPS Pesos E-11'!$C$14)^(1/12)-1),6),6)</f>
        <v>0</v>
      </c>
      <c r="G90" s="15">
        <f t="shared" si="15"/>
        <v>0</v>
      </c>
      <c r="H90" s="28">
        <f>IF($B90=0,0,G90/POWER(1+'CALCULADORA TIPS Pesos E-11'!$F$11,Flujos!$B90/365))</f>
        <v>0</v>
      </c>
      <c r="I90" s="30">
        <f t="shared" si="12"/>
        <v>42626</v>
      </c>
      <c r="J90" s="25">
        <v>88</v>
      </c>
      <c r="K90" s="12">
        <f t="shared" si="16"/>
        <v>2678</v>
      </c>
      <c r="L90" s="94">
        <f t="shared" si="17"/>
        <v>3.635883331298828E-06</v>
      </c>
      <c r="M90" s="91">
        <f t="shared" si="18"/>
        <v>0</v>
      </c>
      <c r="N90" s="91">
        <f t="shared" si="19"/>
        <v>3.037780523300171E-08</v>
      </c>
      <c r="O90" s="92">
        <f t="shared" si="20"/>
        <v>3.037780523300171E-08</v>
      </c>
    </row>
    <row r="91" spans="1:15" ht="12.75">
      <c r="A91" s="4">
        <f t="shared" si="11"/>
        <v>42656</v>
      </c>
      <c r="B91" s="9">
        <f>IF(DIAS365('CALCULADORA TIPS Pesos E-11'!$E$6,A91)&lt;0,0,DIAS365('CALCULADORA TIPS Pesos E-11'!$E$6,A91))</f>
        <v>1156</v>
      </c>
      <c r="C91" s="5">
        <f>+HLOOKUP('CALCULADORA TIPS Pesos E-11'!$E$4,Tablas!$B$1:$C$181,Flujos!J91+1,FALSE)</f>
        <v>0</v>
      </c>
      <c r="D91" s="14">
        <f t="shared" si="13"/>
        <v>0</v>
      </c>
      <c r="E91" s="15">
        <f t="shared" si="14"/>
        <v>0</v>
      </c>
      <c r="F91" s="15">
        <f>ROUND(D90*ROUND(((1+'CALCULADORA TIPS Pesos E-11'!$C$14)^(1/12)-1),6),6)</f>
        <v>0</v>
      </c>
      <c r="G91" s="15">
        <f t="shared" si="15"/>
        <v>0</v>
      </c>
      <c r="H91" s="28">
        <f>IF($B91=0,0,G91/POWER(1+'CALCULADORA TIPS Pesos E-11'!$F$11,Flujos!$B91/365))</f>
        <v>0</v>
      </c>
      <c r="I91" s="30">
        <f t="shared" si="12"/>
        <v>42656</v>
      </c>
      <c r="J91" s="25">
        <v>89</v>
      </c>
      <c r="K91" s="12">
        <f t="shared" si="16"/>
        <v>2708</v>
      </c>
      <c r="L91" s="94">
        <f t="shared" si="17"/>
        <v>3.635883331298828E-06</v>
      </c>
      <c r="M91" s="91">
        <f t="shared" si="18"/>
        <v>0</v>
      </c>
      <c r="N91" s="91">
        <f t="shared" si="19"/>
        <v>3.037780523300171E-08</v>
      </c>
      <c r="O91" s="92">
        <f t="shared" si="20"/>
        <v>3.037780523300171E-08</v>
      </c>
    </row>
    <row r="92" spans="1:15" ht="12.75">
      <c r="A92" s="4">
        <f t="shared" si="11"/>
        <v>42687</v>
      </c>
      <c r="B92" s="9">
        <f>IF(DIAS365('CALCULADORA TIPS Pesos E-11'!$E$6,A92)&lt;0,0,DIAS365('CALCULADORA TIPS Pesos E-11'!$E$6,A92))</f>
        <v>1187</v>
      </c>
      <c r="C92" s="5">
        <f>+HLOOKUP('CALCULADORA TIPS Pesos E-11'!$E$4,Tablas!$B$1:$C$181,Flujos!J92+1,FALSE)</f>
        <v>0</v>
      </c>
      <c r="D92" s="14">
        <f t="shared" si="13"/>
        <v>0</v>
      </c>
      <c r="E92" s="15">
        <f t="shared" si="14"/>
        <v>0</v>
      </c>
      <c r="F92" s="15">
        <f>ROUND(D91*ROUND(((1+'CALCULADORA TIPS Pesos E-11'!$C$14)^(1/12)-1),6),6)</f>
        <v>0</v>
      </c>
      <c r="G92" s="15">
        <f t="shared" si="15"/>
        <v>0</v>
      </c>
      <c r="H92" s="28">
        <f>IF($B92=0,0,G92/POWER(1+'CALCULADORA TIPS Pesos E-11'!$F$11,Flujos!$B92/365))</f>
        <v>0</v>
      </c>
      <c r="I92" s="30">
        <f t="shared" si="12"/>
        <v>42687</v>
      </c>
      <c r="J92" s="25">
        <v>90</v>
      </c>
      <c r="K92" s="12">
        <f t="shared" si="16"/>
        <v>2739</v>
      </c>
      <c r="L92" s="94">
        <f t="shared" si="17"/>
        <v>3.635883331298828E-06</v>
      </c>
      <c r="M92" s="91">
        <f t="shared" si="18"/>
        <v>0</v>
      </c>
      <c r="N92" s="91">
        <f t="shared" si="19"/>
        <v>3.037780523300171E-08</v>
      </c>
      <c r="O92" s="92">
        <f t="shared" si="20"/>
        <v>3.037780523300171E-08</v>
      </c>
    </row>
    <row r="93" spans="1:15" ht="12.75">
      <c r="A93" s="4">
        <f t="shared" si="11"/>
        <v>42717</v>
      </c>
      <c r="B93" s="9">
        <f>IF(DIAS365('CALCULADORA TIPS Pesos E-11'!$E$6,A93)&lt;0,0,DIAS365('CALCULADORA TIPS Pesos E-11'!$E$6,A93))</f>
        <v>1217</v>
      </c>
      <c r="C93" s="5">
        <f>+HLOOKUP('CALCULADORA TIPS Pesos E-11'!$E$4,Tablas!$B$1:$C$181,Flujos!J93+1,FALSE)</f>
        <v>0</v>
      </c>
      <c r="D93" s="14">
        <f t="shared" si="13"/>
        <v>0</v>
      </c>
      <c r="E93" s="15">
        <f t="shared" si="14"/>
        <v>0</v>
      </c>
      <c r="F93" s="15">
        <f>ROUND(D92*ROUND(((1+'CALCULADORA TIPS Pesos E-11'!$C$14)^(1/12)-1),6),6)</f>
        <v>0</v>
      </c>
      <c r="G93" s="15">
        <f t="shared" si="15"/>
        <v>0</v>
      </c>
      <c r="H93" s="28">
        <f>IF($B93=0,0,G93/POWER(1+'CALCULADORA TIPS Pesos E-11'!$F$11,Flujos!$B93/365))</f>
        <v>0</v>
      </c>
      <c r="I93" s="30">
        <f t="shared" si="12"/>
        <v>42717</v>
      </c>
      <c r="J93" s="25">
        <v>91</v>
      </c>
      <c r="K93" s="12">
        <f t="shared" si="16"/>
        <v>2769</v>
      </c>
      <c r="L93" s="94">
        <f t="shared" si="17"/>
        <v>3.635883331298828E-06</v>
      </c>
      <c r="M93" s="91">
        <f t="shared" si="18"/>
        <v>0</v>
      </c>
      <c r="N93" s="91">
        <f t="shared" si="19"/>
        <v>3.037780523300171E-08</v>
      </c>
      <c r="O93" s="92">
        <f t="shared" si="20"/>
        <v>3.037780523300171E-08</v>
      </c>
    </row>
    <row r="94" spans="1:15" ht="12.75">
      <c r="A94" s="4">
        <f t="shared" si="11"/>
        <v>42748</v>
      </c>
      <c r="B94" s="9">
        <f>IF(DIAS365('CALCULADORA TIPS Pesos E-11'!$E$6,A94)&lt;0,0,DIAS365('CALCULADORA TIPS Pesos E-11'!$E$6,A94))</f>
        <v>1248</v>
      </c>
      <c r="C94" s="5">
        <f>+HLOOKUP('CALCULADORA TIPS Pesos E-11'!$E$4,Tablas!$B$1:$C$181,Flujos!J94+1,FALSE)</f>
        <v>0</v>
      </c>
      <c r="D94" s="14">
        <f t="shared" si="13"/>
        <v>0</v>
      </c>
      <c r="E94" s="15">
        <f t="shared" si="14"/>
        <v>0</v>
      </c>
      <c r="F94" s="15">
        <f>ROUND(D93*ROUND(((1+'CALCULADORA TIPS Pesos E-11'!$C$14)^(1/12)-1),6),6)</f>
        <v>0</v>
      </c>
      <c r="G94" s="15">
        <f t="shared" si="15"/>
        <v>0</v>
      </c>
      <c r="H94" s="28">
        <f>IF($B94=0,0,G94/POWER(1+'CALCULADORA TIPS Pesos E-11'!$F$11,Flujos!$B94/365))</f>
        <v>0</v>
      </c>
      <c r="I94" s="30">
        <f t="shared" si="12"/>
        <v>42748</v>
      </c>
      <c r="J94" s="25">
        <v>92</v>
      </c>
      <c r="K94" s="12">
        <f t="shared" si="16"/>
        <v>2800</v>
      </c>
      <c r="L94" s="94">
        <f t="shared" si="17"/>
        <v>3.635883331298828E-06</v>
      </c>
      <c r="M94" s="91">
        <f t="shared" si="18"/>
        <v>0</v>
      </c>
      <c r="N94" s="91">
        <f t="shared" si="19"/>
        <v>3.037780523300171E-08</v>
      </c>
      <c r="O94" s="92">
        <f t="shared" si="20"/>
        <v>3.037780523300171E-08</v>
      </c>
    </row>
    <row r="95" spans="1:15" ht="12.75">
      <c r="A95" s="4">
        <f t="shared" si="11"/>
        <v>42779</v>
      </c>
      <c r="B95" s="9">
        <f>IF(DIAS365('CALCULADORA TIPS Pesos E-11'!$E$6,A95)&lt;0,0,DIAS365('CALCULADORA TIPS Pesos E-11'!$E$6,A95))</f>
        <v>1279</v>
      </c>
      <c r="C95" s="5">
        <f>+HLOOKUP('CALCULADORA TIPS Pesos E-11'!$E$4,Tablas!$B$1:$C$181,Flujos!J95+1,FALSE)</f>
        <v>0</v>
      </c>
      <c r="D95" s="14">
        <f t="shared" si="13"/>
        <v>0</v>
      </c>
      <c r="E95" s="15">
        <f t="shared" si="14"/>
        <v>0</v>
      </c>
      <c r="F95" s="15">
        <f>ROUND(D94*ROUND(((1+'CALCULADORA TIPS Pesos E-11'!$C$14)^(1/12)-1),6),6)</f>
        <v>0</v>
      </c>
      <c r="G95" s="15">
        <f t="shared" si="15"/>
        <v>0</v>
      </c>
      <c r="H95" s="28">
        <f>IF($B95=0,0,G95/POWER(1+'CALCULADORA TIPS Pesos E-11'!$F$11,Flujos!$B95/365))</f>
        <v>0</v>
      </c>
      <c r="I95" s="30">
        <f t="shared" si="12"/>
        <v>42779</v>
      </c>
      <c r="J95" s="25">
        <v>93</v>
      </c>
      <c r="K95" s="12">
        <f t="shared" si="16"/>
        <v>2831</v>
      </c>
      <c r="L95" s="94">
        <f t="shared" si="17"/>
        <v>3.635883331298828E-06</v>
      </c>
      <c r="M95" s="91">
        <f t="shared" si="18"/>
        <v>0</v>
      </c>
      <c r="N95" s="91">
        <f t="shared" si="19"/>
        <v>3.037780523300171E-08</v>
      </c>
      <c r="O95" s="92">
        <f t="shared" si="20"/>
        <v>3.037780523300171E-08</v>
      </c>
    </row>
    <row r="96" spans="1:15" ht="12.75">
      <c r="A96" s="4">
        <f t="shared" si="11"/>
        <v>42807</v>
      </c>
      <c r="B96" s="9">
        <f>IF(DIAS365('CALCULADORA TIPS Pesos E-11'!$E$6,A96)&lt;0,0,DIAS365('CALCULADORA TIPS Pesos E-11'!$E$6,A96))</f>
        <v>1307</v>
      </c>
      <c r="C96" s="5">
        <f>+HLOOKUP('CALCULADORA TIPS Pesos E-11'!$E$4,Tablas!$B$1:$C$181,Flujos!J96+1,FALSE)</f>
        <v>0</v>
      </c>
      <c r="D96" s="14">
        <f t="shared" si="13"/>
        <v>0</v>
      </c>
      <c r="E96" s="15">
        <f t="shared" si="14"/>
        <v>0</v>
      </c>
      <c r="F96" s="15">
        <f>ROUND(D95*ROUND(((1+'CALCULADORA TIPS Pesos E-11'!$C$14)^(1/12)-1),6),6)</f>
        <v>0</v>
      </c>
      <c r="G96" s="15">
        <f t="shared" si="15"/>
        <v>0</v>
      </c>
      <c r="H96" s="28">
        <f>IF($B96=0,0,G96/POWER(1+'CALCULADORA TIPS Pesos E-11'!$F$11,Flujos!$B96/365))</f>
        <v>0</v>
      </c>
      <c r="I96" s="30">
        <f t="shared" si="12"/>
        <v>42807</v>
      </c>
      <c r="J96" s="25">
        <v>94</v>
      </c>
      <c r="K96" s="12">
        <f t="shared" si="16"/>
        <v>2859</v>
      </c>
      <c r="L96" s="94">
        <f t="shared" si="17"/>
        <v>3.635883331298828E-06</v>
      </c>
      <c r="M96" s="91">
        <f t="shared" si="18"/>
        <v>0</v>
      </c>
      <c r="N96" s="91">
        <f t="shared" si="19"/>
        <v>3.037780523300171E-08</v>
      </c>
      <c r="O96" s="92">
        <f t="shared" si="20"/>
        <v>3.037780523300171E-08</v>
      </c>
    </row>
    <row r="97" spans="1:15" ht="12.75">
      <c r="A97" s="4">
        <f t="shared" si="11"/>
        <v>42838</v>
      </c>
      <c r="B97" s="9">
        <f>IF(DIAS365('CALCULADORA TIPS Pesos E-11'!$E$6,A97)&lt;0,0,DIAS365('CALCULADORA TIPS Pesos E-11'!$E$6,A97))</f>
        <v>1338</v>
      </c>
      <c r="C97" s="5">
        <f>+HLOOKUP('CALCULADORA TIPS Pesos E-11'!$E$4,Tablas!$B$1:$C$181,Flujos!J97+1,FALSE)</f>
        <v>0</v>
      </c>
      <c r="D97" s="14">
        <f t="shared" si="13"/>
        <v>0</v>
      </c>
      <c r="E97" s="15">
        <f t="shared" si="14"/>
        <v>0</v>
      </c>
      <c r="F97" s="15">
        <f>ROUND(D96*ROUND(((1+'CALCULADORA TIPS Pesos E-11'!$C$14)^(1/12)-1),6),6)</f>
        <v>0</v>
      </c>
      <c r="G97" s="15">
        <f t="shared" si="15"/>
        <v>0</v>
      </c>
      <c r="H97" s="28">
        <f>IF($B97=0,0,G97/POWER(1+'CALCULADORA TIPS Pesos E-11'!$F$11,Flujos!$B97/365))</f>
        <v>0</v>
      </c>
      <c r="I97" s="30">
        <f t="shared" si="12"/>
        <v>42838</v>
      </c>
      <c r="J97" s="25">
        <v>95</v>
      </c>
      <c r="K97" s="12">
        <f t="shared" si="16"/>
        <v>2890</v>
      </c>
      <c r="L97" s="94">
        <f t="shared" si="17"/>
        <v>3.635883331298828E-06</v>
      </c>
      <c r="M97" s="91">
        <f t="shared" si="18"/>
        <v>0</v>
      </c>
      <c r="N97" s="91">
        <f t="shared" si="19"/>
        <v>3.037780523300171E-08</v>
      </c>
      <c r="O97" s="92">
        <f t="shared" si="20"/>
        <v>3.037780523300171E-08</v>
      </c>
    </row>
    <row r="98" spans="1:15" ht="12.75">
      <c r="A98" s="4">
        <f t="shared" si="11"/>
        <v>42868</v>
      </c>
      <c r="B98" s="9">
        <f>IF(DIAS365('CALCULADORA TIPS Pesos E-11'!$E$6,A98)&lt;0,0,DIAS365('CALCULADORA TIPS Pesos E-11'!$E$6,A98))</f>
        <v>1368</v>
      </c>
      <c r="C98" s="5">
        <f>+HLOOKUP('CALCULADORA TIPS Pesos E-11'!$E$4,Tablas!$B$1:$C$181,Flujos!J98+1,FALSE)</f>
        <v>0</v>
      </c>
      <c r="D98" s="14">
        <f t="shared" si="13"/>
        <v>0</v>
      </c>
      <c r="E98" s="15">
        <f t="shared" si="14"/>
        <v>0</v>
      </c>
      <c r="F98" s="15">
        <f>ROUND(D97*ROUND(((1+'CALCULADORA TIPS Pesos E-11'!$C$14)^(1/12)-1),6),6)</f>
        <v>0</v>
      </c>
      <c r="G98" s="15">
        <f t="shared" si="15"/>
        <v>0</v>
      </c>
      <c r="H98" s="28">
        <f>IF($B98=0,0,G98/POWER(1+'CALCULADORA TIPS Pesos E-11'!$F$11,Flujos!$B98/365))</f>
        <v>0</v>
      </c>
      <c r="I98" s="30">
        <f t="shared" si="12"/>
        <v>42868</v>
      </c>
      <c r="J98" s="25">
        <v>96</v>
      </c>
      <c r="K98" s="12">
        <f t="shared" si="16"/>
        <v>2920</v>
      </c>
      <c r="L98" s="94">
        <f t="shared" si="17"/>
        <v>3.635883331298828E-06</v>
      </c>
      <c r="M98" s="91">
        <f t="shared" si="18"/>
        <v>0</v>
      </c>
      <c r="N98" s="91">
        <f t="shared" si="19"/>
        <v>3.037780523300171E-08</v>
      </c>
      <c r="O98" s="92">
        <f t="shared" si="20"/>
        <v>3.037780523300171E-08</v>
      </c>
    </row>
    <row r="99" spans="1:15" ht="12.75">
      <c r="A99" s="4">
        <f aca="true" t="shared" si="21" ref="A99:A130">_XLL.FECHA.MES(A98,1)</f>
        <v>42899</v>
      </c>
      <c r="B99" s="9">
        <f>IF(DIAS365('CALCULADORA TIPS Pesos E-11'!$E$6,A99)&lt;0,0,DIAS365('CALCULADORA TIPS Pesos E-11'!$E$6,A99))</f>
        <v>1399</v>
      </c>
      <c r="C99" s="5">
        <f>+HLOOKUP('CALCULADORA TIPS Pesos E-11'!$E$4,Tablas!$B$1:$C$181,Flujos!J99+1,FALSE)</f>
        <v>0</v>
      </c>
      <c r="D99" s="14">
        <f t="shared" si="13"/>
        <v>0</v>
      </c>
      <c r="E99" s="15">
        <f t="shared" si="14"/>
        <v>0</v>
      </c>
      <c r="F99" s="15">
        <f>ROUND(D98*ROUND(((1+'CALCULADORA TIPS Pesos E-11'!$C$14)^(1/12)-1),6),6)</f>
        <v>0</v>
      </c>
      <c r="G99" s="15">
        <f t="shared" si="15"/>
        <v>0</v>
      </c>
      <c r="H99" s="28">
        <f>IF($B99=0,0,G99/POWER(1+'CALCULADORA TIPS Pesos E-11'!$F$11,Flujos!$B99/365))</f>
        <v>0</v>
      </c>
      <c r="I99" s="30">
        <f t="shared" si="12"/>
        <v>42899</v>
      </c>
      <c r="J99" s="25">
        <v>97</v>
      </c>
      <c r="K99" s="12">
        <f t="shared" si="16"/>
        <v>2951</v>
      </c>
      <c r="L99" s="94">
        <f t="shared" si="17"/>
        <v>3.635883331298828E-06</v>
      </c>
      <c r="M99" s="91">
        <f t="shared" si="18"/>
        <v>0</v>
      </c>
      <c r="N99" s="91">
        <f t="shared" si="19"/>
        <v>3.037780523300171E-08</v>
      </c>
      <c r="O99" s="92">
        <f t="shared" si="20"/>
        <v>3.037780523300171E-08</v>
      </c>
    </row>
    <row r="100" spans="1:15" ht="12.75">
      <c r="A100" s="4">
        <f t="shared" si="21"/>
        <v>42929</v>
      </c>
      <c r="B100" s="9">
        <f>IF(DIAS365('CALCULADORA TIPS Pesos E-11'!$E$6,A100)&lt;0,0,DIAS365('CALCULADORA TIPS Pesos E-11'!$E$6,A100))</f>
        <v>1429</v>
      </c>
      <c r="C100" s="5">
        <f>+HLOOKUP('CALCULADORA TIPS Pesos E-11'!$E$4,Tablas!$B$1:$C$181,Flujos!J100+1,FALSE)</f>
        <v>0</v>
      </c>
      <c r="D100" s="14">
        <f t="shared" si="13"/>
        <v>0</v>
      </c>
      <c r="E100" s="15">
        <f t="shared" si="14"/>
        <v>0</v>
      </c>
      <c r="F100" s="15">
        <f>ROUND(D99*ROUND(((1+'CALCULADORA TIPS Pesos E-11'!$C$14)^(1/12)-1),6),6)</f>
        <v>0</v>
      </c>
      <c r="G100" s="15">
        <f t="shared" si="15"/>
        <v>0</v>
      </c>
      <c r="H100" s="28">
        <f>IF($B100=0,0,G100/POWER(1+'CALCULADORA TIPS Pesos E-11'!$F$11,Flujos!$B100/365))</f>
        <v>0</v>
      </c>
      <c r="I100" s="30">
        <f t="shared" si="12"/>
        <v>42929</v>
      </c>
      <c r="J100" s="25">
        <v>98</v>
      </c>
      <c r="K100" s="12">
        <f t="shared" si="16"/>
        <v>2981</v>
      </c>
      <c r="L100" s="94">
        <f t="shared" si="17"/>
        <v>3.635883331298828E-06</v>
      </c>
      <c r="M100" s="91">
        <f t="shared" si="18"/>
        <v>0</v>
      </c>
      <c r="N100" s="91">
        <f t="shared" si="19"/>
        <v>3.037780523300171E-08</v>
      </c>
      <c r="O100" s="92">
        <f t="shared" si="20"/>
        <v>3.037780523300171E-08</v>
      </c>
    </row>
    <row r="101" spans="1:15" ht="12.75">
      <c r="A101" s="4">
        <f t="shared" si="21"/>
        <v>42960</v>
      </c>
      <c r="B101" s="9">
        <f>IF(DIAS365('CALCULADORA TIPS Pesos E-11'!$E$6,A101)&lt;0,0,DIAS365('CALCULADORA TIPS Pesos E-11'!$E$6,A101))</f>
        <v>1460</v>
      </c>
      <c r="C101" s="5">
        <f>+HLOOKUP('CALCULADORA TIPS Pesos E-11'!$E$4,Tablas!$B$1:$C$181,Flujos!J101+1,FALSE)</f>
        <v>0</v>
      </c>
      <c r="D101" s="14">
        <f t="shared" si="13"/>
        <v>0</v>
      </c>
      <c r="E101" s="15">
        <f t="shared" si="14"/>
        <v>0</v>
      </c>
      <c r="F101" s="15">
        <f>ROUND(D100*ROUND(((1+'CALCULADORA TIPS Pesos E-11'!$C$14)^(1/12)-1),6),6)</f>
        <v>0</v>
      </c>
      <c r="G101" s="15">
        <f t="shared" si="15"/>
        <v>0</v>
      </c>
      <c r="H101" s="28">
        <f>IF($B101=0,0,G101/POWER(1+'CALCULADORA TIPS Pesos E-11'!$F$11,Flujos!$B101/365))</f>
        <v>0</v>
      </c>
      <c r="I101" s="30">
        <f t="shared" si="12"/>
        <v>42960</v>
      </c>
      <c r="J101" s="25">
        <v>99</v>
      </c>
      <c r="K101" s="12">
        <f t="shared" si="16"/>
        <v>3012</v>
      </c>
      <c r="L101" s="94">
        <f t="shared" si="17"/>
        <v>3.635883331298828E-06</v>
      </c>
      <c r="M101" s="91">
        <f t="shared" si="18"/>
        <v>0</v>
      </c>
      <c r="N101" s="91">
        <f t="shared" si="19"/>
        <v>3.037780523300171E-08</v>
      </c>
      <c r="O101" s="92">
        <f t="shared" si="20"/>
        <v>3.037780523300171E-08</v>
      </c>
    </row>
    <row r="102" spans="1:15" ht="12.75">
      <c r="A102" s="4">
        <f t="shared" si="21"/>
        <v>42991</v>
      </c>
      <c r="B102" s="9">
        <f>IF(DIAS365('CALCULADORA TIPS Pesos E-11'!$E$6,A102)&lt;0,0,DIAS365('CALCULADORA TIPS Pesos E-11'!$E$6,A102))</f>
        <v>1491</v>
      </c>
      <c r="C102" s="5">
        <f>+HLOOKUP('CALCULADORA TIPS Pesos E-11'!$E$4,Tablas!$B$1:$C$181,Flujos!J102+1,FALSE)</f>
        <v>0</v>
      </c>
      <c r="D102" s="14">
        <f t="shared" si="13"/>
        <v>0</v>
      </c>
      <c r="E102" s="15">
        <f t="shared" si="14"/>
        <v>0</v>
      </c>
      <c r="F102" s="15">
        <f>ROUND(D101*ROUND(((1+'CALCULADORA TIPS Pesos E-11'!$C$14)^(1/12)-1),6),6)</f>
        <v>0</v>
      </c>
      <c r="G102" s="15">
        <f t="shared" si="15"/>
        <v>0</v>
      </c>
      <c r="H102" s="28">
        <f>IF($B102=0,0,G102/POWER(1+'CALCULADORA TIPS Pesos E-11'!$F$11,Flujos!$B102/365))</f>
        <v>0</v>
      </c>
      <c r="I102" s="30">
        <f t="shared" si="12"/>
        <v>42991</v>
      </c>
      <c r="J102" s="25">
        <v>100</v>
      </c>
      <c r="K102" s="12">
        <f t="shared" si="16"/>
        <v>3043</v>
      </c>
      <c r="L102" s="94">
        <f t="shared" si="17"/>
        <v>3.635883331298828E-06</v>
      </c>
      <c r="M102" s="91">
        <f t="shared" si="18"/>
        <v>0</v>
      </c>
      <c r="N102" s="91">
        <f t="shared" si="19"/>
        <v>3.037780523300171E-08</v>
      </c>
      <c r="O102" s="92">
        <f t="shared" si="20"/>
        <v>3.037780523300171E-08</v>
      </c>
    </row>
    <row r="103" spans="1:15" ht="12.75">
      <c r="A103" s="4">
        <f t="shared" si="21"/>
        <v>43021</v>
      </c>
      <c r="B103" s="9">
        <f>IF(DIAS365('CALCULADORA TIPS Pesos E-11'!$E$6,A103)&lt;0,0,DIAS365('CALCULADORA TIPS Pesos E-11'!$E$6,A103))</f>
        <v>1521</v>
      </c>
      <c r="C103" s="5">
        <f>+HLOOKUP('CALCULADORA TIPS Pesos E-11'!$E$4,Tablas!$B$1:$C$181,Flujos!J103+1,FALSE)</f>
        <v>0</v>
      </c>
      <c r="D103" s="14">
        <f t="shared" si="13"/>
        <v>0</v>
      </c>
      <c r="E103" s="15">
        <f t="shared" si="14"/>
        <v>0</v>
      </c>
      <c r="F103" s="15">
        <f>ROUND(D102*ROUND(((1+'CALCULADORA TIPS Pesos E-11'!$C$14)^(1/12)-1),6),6)</f>
        <v>0</v>
      </c>
      <c r="G103" s="15">
        <f t="shared" si="15"/>
        <v>0</v>
      </c>
      <c r="H103" s="28">
        <f>IF($B103=0,0,G103/POWER(1+'CALCULADORA TIPS Pesos E-11'!$F$11,Flujos!$B103/365))</f>
        <v>0</v>
      </c>
      <c r="I103" s="30">
        <f t="shared" si="12"/>
        <v>43021</v>
      </c>
      <c r="J103" s="25">
        <v>101</v>
      </c>
      <c r="K103" s="12">
        <f t="shared" si="16"/>
        <v>3073</v>
      </c>
      <c r="L103" s="94">
        <f t="shared" si="17"/>
        <v>3.635883331298828E-06</v>
      </c>
      <c r="M103" s="91">
        <f t="shared" si="18"/>
        <v>0</v>
      </c>
      <c r="N103" s="91">
        <f t="shared" si="19"/>
        <v>3.037780523300171E-08</v>
      </c>
      <c r="O103" s="92">
        <f t="shared" si="20"/>
        <v>3.037780523300171E-08</v>
      </c>
    </row>
    <row r="104" spans="1:15" ht="12.75">
      <c r="A104" s="4">
        <f t="shared" si="21"/>
        <v>43052</v>
      </c>
      <c r="B104" s="9">
        <f>IF(DIAS365('CALCULADORA TIPS Pesos E-11'!$E$6,A104)&lt;0,0,DIAS365('CALCULADORA TIPS Pesos E-11'!$E$6,A104))</f>
        <v>1552</v>
      </c>
      <c r="C104" s="5">
        <f>+HLOOKUP('CALCULADORA TIPS Pesos E-11'!$E$4,Tablas!$B$1:$C$181,Flujos!J104+1,FALSE)</f>
        <v>0</v>
      </c>
      <c r="D104" s="14">
        <f t="shared" si="13"/>
        <v>0</v>
      </c>
      <c r="E104" s="15">
        <f t="shared" si="14"/>
        <v>0</v>
      </c>
      <c r="F104" s="15">
        <f>ROUND(D103*ROUND(((1+'CALCULADORA TIPS Pesos E-11'!$C$14)^(1/12)-1),6),6)</f>
        <v>0</v>
      </c>
      <c r="G104" s="15">
        <f t="shared" si="15"/>
        <v>0</v>
      </c>
      <c r="H104" s="28">
        <f>IF($B104=0,0,G104/POWER(1+'CALCULADORA TIPS Pesos E-11'!$F$11,Flujos!$B104/365))</f>
        <v>0</v>
      </c>
      <c r="I104" s="30">
        <f t="shared" si="12"/>
        <v>43052</v>
      </c>
      <c r="J104" s="25">
        <v>102</v>
      </c>
      <c r="K104" s="12">
        <f t="shared" si="16"/>
        <v>3104</v>
      </c>
      <c r="L104" s="94">
        <f t="shared" si="17"/>
        <v>3.635883331298828E-06</v>
      </c>
      <c r="M104" s="91">
        <f t="shared" si="18"/>
        <v>0</v>
      </c>
      <c r="N104" s="91">
        <f t="shared" si="19"/>
        <v>3.037780523300171E-08</v>
      </c>
      <c r="O104" s="92">
        <f t="shared" si="20"/>
        <v>3.037780523300171E-08</v>
      </c>
    </row>
    <row r="105" spans="1:15" ht="12.75">
      <c r="A105" s="4">
        <f t="shared" si="21"/>
        <v>43082</v>
      </c>
      <c r="B105" s="9">
        <f>IF(DIAS365('CALCULADORA TIPS Pesos E-11'!$E$6,A105)&lt;0,0,DIAS365('CALCULADORA TIPS Pesos E-11'!$E$6,A105))</f>
        <v>1582</v>
      </c>
      <c r="C105" s="5">
        <f>+HLOOKUP('CALCULADORA TIPS Pesos E-11'!$E$4,Tablas!$B$1:$C$181,Flujos!J105+1,FALSE)</f>
        <v>0</v>
      </c>
      <c r="D105" s="14">
        <f t="shared" si="13"/>
        <v>0</v>
      </c>
      <c r="E105" s="15">
        <f t="shared" si="14"/>
        <v>0</v>
      </c>
      <c r="F105" s="15">
        <f>ROUND(D104*ROUND(((1+'CALCULADORA TIPS Pesos E-11'!$C$14)^(1/12)-1),6),6)</f>
        <v>0</v>
      </c>
      <c r="G105" s="15">
        <f t="shared" si="15"/>
        <v>0</v>
      </c>
      <c r="H105" s="28">
        <f>IF($B105=0,0,G105/POWER(1+'CALCULADORA TIPS Pesos E-11'!$F$11,Flujos!$B105/365))</f>
        <v>0</v>
      </c>
      <c r="I105" s="30">
        <f t="shared" si="12"/>
        <v>43082</v>
      </c>
      <c r="J105" s="25">
        <v>103</v>
      </c>
      <c r="K105" s="12">
        <f t="shared" si="16"/>
        <v>3134</v>
      </c>
      <c r="L105" s="94">
        <f t="shared" si="17"/>
        <v>3.635883331298828E-06</v>
      </c>
      <c r="M105" s="91">
        <f t="shared" si="18"/>
        <v>0</v>
      </c>
      <c r="N105" s="91">
        <f t="shared" si="19"/>
        <v>3.037780523300171E-08</v>
      </c>
      <c r="O105" s="92">
        <f t="shared" si="20"/>
        <v>3.037780523300171E-08</v>
      </c>
    </row>
    <row r="106" spans="1:15" ht="12.75">
      <c r="A106" s="4">
        <f t="shared" si="21"/>
        <v>43113</v>
      </c>
      <c r="B106" s="9">
        <f>IF(DIAS365('CALCULADORA TIPS Pesos E-11'!$E$6,A106)&lt;0,0,DIAS365('CALCULADORA TIPS Pesos E-11'!$E$6,A106))</f>
        <v>1613</v>
      </c>
      <c r="C106" s="5">
        <f>+HLOOKUP('CALCULADORA TIPS Pesos E-11'!$E$4,Tablas!$B$1:$C$181,Flujos!J106+1,FALSE)</f>
        <v>0</v>
      </c>
      <c r="D106" s="14">
        <f t="shared" si="13"/>
        <v>0</v>
      </c>
      <c r="E106" s="15">
        <f t="shared" si="14"/>
        <v>0</v>
      </c>
      <c r="F106" s="15">
        <f>ROUND(D105*ROUND(((1+'CALCULADORA TIPS Pesos E-11'!$C$14)^(1/12)-1),6),6)</f>
        <v>0</v>
      </c>
      <c r="G106" s="15">
        <f t="shared" si="15"/>
        <v>0</v>
      </c>
      <c r="H106" s="28">
        <f>IF($B106=0,0,G106/POWER(1+'CALCULADORA TIPS Pesos E-11'!$F$11,Flujos!$B106/365))</f>
        <v>0</v>
      </c>
      <c r="I106" s="30">
        <f t="shared" si="12"/>
        <v>43113</v>
      </c>
      <c r="J106" s="25">
        <v>104</v>
      </c>
      <c r="K106" s="12">
        <f t="shared" si="16"/>
        <v>3165</v>
      </c>
      <c r="L106" s="94">
        <f t="shared" si="17"/>
        <v>3.635883331298828E-06</v>
      </c>
      <c r="M106" s="91">
        <f t="shared" si="18"/>
        <v>0</v>
      </c>
      <c r="N106" s="91">
        <f t="shared" si="19"/>
        <v>3.037780523300171E-08</v>
      </c>
      <c r="O106" s="92">
        <f t="shared" si="20"/>
        <v>3.037780523300171E-08</v>
      </c>
    </row>
    <row r="107" spans="1:15" ht="12.75">
      <c r="A107" s="4">
        <f t="shared" si="21"/>
        <v>43144</v>
      </c>
      <c r="B107" s="9">
        <f>IF(DIAS365('CALCULADORA TIPS Pesos E-11'!$E$6,A107)&lt;0,0,DIAS365('CALCULADORA TIPS Pesos E-11'!$E$6,A107))</f>
        <v>1644</v>
      </c>
      <c r="C107" s="5">
        <f>+HLOOKUP('CALCULADORA TIPS Pesos E-11'!$E$4,Tablas!$B$1:$C$181,Flujos!J107+1,FALSE)</f>
        <v>0</v>
      </c>
      <c r="D107" s="14">
        <f t="shared" si="13"/>
        <v>0</v>
      </c>
      <c r="E107" s="15">
        <f t="shared" si="14"/>
        <v>0</v>
      </c>
      <c r="F107" s="15">
        <f>ROUND(D106*ROUND(((1+'CALCULADORA TIPS Pesos E-11'!$C$14)^(1/12)-1),6),6)</f>
        <v>0</v>
      </c>
      <c r="G107" s="15">
        <f t="shared" si="15"/>
        <v>0</v>
      </c>
      <c r="H107" s="28">
        <f>IF($B107=0,0,G107/POWER(1+'CALCULADORA TIPS Pesos E-11'!$F$11,Flujos!$B107/365))</f>
        <v>0</v>
      </c>
      <c r="I107" s="30">
        <f t="shared" si="12"/>
        <v>43144</v>
      </c>
      <c r="J107" s="25">
        <v>105</v>
      </c>
      <c r="K107" s="12">
        <f t="shared" si="16"/>
        <v>3196</v>
      </c>
      <c r="L107" s="94">
        <f t="shared" si="17"/>
        <v>3.635883331298828E-06</v>
      </c>
      <c r="M107" s="91">
        <f t="shared" si="18"/>
        <v>0</v>
      </c>
      <c r="N107" s="91">
        <f t="shared" si="19"/>
        <v>3.037780523300171E-08</v>
      </c>
      <c r="O107" s="92">
        <f t="shared" si="20"/>
        <v>3.037780523300171E-08</v>
      </c>
    </row>
    <row r="108" spans="1:15" ht="12.75">
      <c r="A108" s="4">
        <f t="shared" si="21"/>
        <v>43172</v>
      </c>
      <c r="B108" s="9">
        <f>IF(DIAS365('CALCULADORA TIPS Pesos E-11'!$E$6,A108)&lt;0,0,DIAS365('CALCULADORA TIPS Pesos E-11'!$E$6,A108))</f>
        <v>1672</v>
      </c>
      <c r="C108" s="5">
        <f>+HLOOKUP('CALCULADORA TIPS Pesos E-11'!$E$4,Tablas!$B$1:$C$181,Flujos!J108+1,FALSE)</f>
        <v>0</v>
      </c>
      <c r="D108" s="14">
        <f t="shared" si="13"/>
        <v>0</v>
      </c>
      <c r="E108" s="15">
        <f t="shared" si="14"/>
        <v>0</v>
      </c>
      <c r="F108" s="15">
        <f>ROUND(D107*ROUND(((1+'CALCULADORA TIPS Pesos E-11'!$C$14)^(1/12)-1),6),6)</f>
        <v>0</v>
      </c>
      <c r="G108" s="15">
        <f t="shared" si="15"/>
        <v>0</v>
      </c>
      <c r="H108" s="28">
        <f>IF($B108=0,0,G108/POWER(1+'CALCULADORA TIPS Pesos E-11'!$F$11,Flujos!$B108/365))</f>
        <v>0</v>
      </c>
      <c r="I108" s="30">
        <f t="shared" si="12"/>
        <v>43172</v>
      </c>
      <c r="J108" s="25">
        <v>106</v>
      </c>
      <c r="K108" s="12">
        <f t="shared" si="16"/>
        <v>3224</v>
      </c>
      <c r="L108" s="94">
        <f t="shared" si="17"/>
        <v>3.635883331298828E-06</v>
      </c>
      <c r="M108" s="91">
        <f t="shared" si="18"/>
        <v>0</v>
      </c>
      <c r="N108" s="91">
        <f t="shared" si="19"/>
        <v>3.037780523300171E-08</v>
      </c>
      <c r="O108" s="92">
        <f t="shared" si="20"/>
        <v>3.037780523300171E-08</v>
      </c>
    </row>
    <row r="109" spans="1:15" ht="12.75">
      <c r="A109" s="4">
        <f t="shared" si="21"/>
        <v>43203</v>
      </c>
      <c r="B109" s="9">
        <f>IF(DIAS365('CALCULADORA TIPS Pesos E-11'!$E$6,A109)&lt;0,0,DIAS365('CALCULADORA TIPS Pesos E-11'!$E$6,A109))</f>
        <v>1703</v>
      </c>
      <c r="C109" s="5">
        <f>+HLOOKUP('CALCULADORA TIPS Pesos E-11'!$E$4,Tablas!$B$1:$C$181,Flujos!J109+1,FALSE)</f>
        <v>0</v>
      </c>
      <c r="D109" s="14">
        <f t="shared" si="13"/>
        <v>0</v>
      </c>
      <c r="E109" s="15">
        <f t="shared" si="14"/>
        <v>0</v>
      </c>
      <c r="F109" s="15">
        <f>ROUND(D108*ROUND(((1+'CALCULADORA TIPS Pesos E-11'!$C$14)^(1/12)-1),6),6)</f>
        <v>0</v>
      </c>
      <c r="G109" s="15">
        <f t="shared" si="15"/>
        <v>0</v>
      </c>
      <c r="H109" s="28">
        <f>IF($B109=0,0,G109/POWER(1+'CALCULADORA TIPS Pesos E-11'!$F$11,Flujos!$B109/365))</f>
        <v>0</v>
      </c>
      <c r="I109" s="30">
        <f t="shared" si="12"/>
        <v>43203</v>
      </c>
      <c r="J109" s="25">
        <v>107</v>
      </c>
      <c r="K109" s="12">
        <f t="shared" si="16"/>
        <v>3255</v>
      </c>
      <c r="L109" s="94">
        <f t="shared" si="17"/>
        <v>3.635883331298828E-06</v>
      </c>
      <c r="M109" s="91">
        <f t="shared" si="18"/>
        <v>0</v>
      </c>
      <c r="N109" s="91">
        <f t="shared" si="19"/>
        <v>3.037780523300171E-08</v>
      </c>
      <c r="O109" s="92">
        <f t="shared" si="20"/>
        <v>3.037780523300171E-08</v>
      </c>
    </row>
    <row r="110" spans="1:15" ht="12.75">
      <c r="A110" s="4">
        <f t="shared" si="21"/>
        <v>43233</v>
      </c>
      <c r="B110" s="9">
        <f>IF(DIAS365('CALCULADORA TIPS Pesos E-11'!$E$6,A110)&lt;0,0,DIAS365('CALCULADORA TIPS Pesos E-11'!$E$6,A110))</f>
        <v>1733</v>
      </c>
      <c r="C110" s="5">
        <f>+HLOOKUP('CALCULADORA TIPS Pesos E-11'!$E$4,Tablas!$B$1:$C$181,Flujos!J110+1,FALSE)</f>
        <v>0</v>
      </c>
      <c r="D110" s="14">
        <f t="shared" si="13"/>
        <v>0</v>
      </c>
      <c r="E110" s="15">
        <f t="shared" si="14"/>
        <v>0</v>
      </c>
      <c r="F110" s="15">
        <f>ROUND(D109*ROUND(((1+'CALCULADORA TIPS Pesos E-11'!$C$14)^(1/12)-1),6),6)</f>
        <v>0</v>
      </c>
      <c r="G110" s="15">
        <f t="shared" si="15"/>
        <v>0</v>
      </c>
      <c r="H110" s="28">
        <f>IF($B110=0,0,G110/POWER(1+'CALCULADORA TIPS Pesos E-11'!$F$11,Flujos!$B110/365))</f>
        <v>0</v>
      </c>
      <c r="I110" s="30">
        <f t="shared" si="12"/>
        <v>43233</v>
      </c>
      <c r="J110" s="25">
        <v>108</v>
      </c>
      <c r="K110" s="12">
        <f t="shared" si="16"/>
        <v>3285</v>
      </c>
      <c r="L110" s="94">
        <f t="shared" si="17"/>
        <v>3.635883331298828E-06</v>
      </c>
      <c r="M110" s="91">
        <f t="shared" si="18"/>
        <v>0</v>
      </c>
      <c r="N110" s="91">
        <f t="shared" si="19"/>
        <v>3.037780523300171E-08</v>
      </c>
      <c r="O110" s="92">
        <f t="shared" si="20"/>
        <v>3.037780523300171E-08</v>
      </c>
    </row>
    <row r="111" spans="1:15" ht="12.75">
      <c r="A111" s="4">
        <f t="shared" si="21"/>
        <v>43264</v>
      </c>
      <c r="B111" s="9">
        <f>IF(DIAS365('CALCULADORA TIPS Pesos E-11'!$E$6,A111)&lt;0,0,DIAS365('CALCULADORA TIPS Pesos E-11'!$E$6,A111))</f>
        <v>1764</v>
      </c>
      <c r="C111" s="5">
        <f>+HLOOKUP('CALCULADORA TIPS Pesos E-11'!$E$4,Tablas!$B$1:$C$181,Flujos!J111+1,FALSE)</f>
        <v>0</v>
      </c>
      <c r="D111" s="14">
        <f t="shared" si="13"/>
        <v>0</v>
      </c>
      <c r="E111" s="15">
        <f t="shared" si="14"/>
        <v>0</v>
      </c>
      <c r="F111" s="15">
        <f>ROUND(D110*ROUND(((1+'CALCULADORA TIPS Pesos E-11'!$C$14)^(1/12)-1),6),6)</f>
        <v>0</v>
      </c>
      <c r="G111" s="15">
        <f t="shared" si="15"/>
        <v>0</v>
      </c>
      <c r="H111" s="28">
        <f>IF($B111=0,0,G111/POWER(1+'CALCULADORA TIPS Pesos E-11'!$F$11,Flujos!$B111/365))</f>
        <v>0</v>
      </c>
      <c r="I111" s="30">
        <f t="shared" si="12"/>
        <v>43264</v>
      </c>
      <c r="J111" s="25">
        <v>109</v>
      </c>
      <c r="K111" s="12">
        <f t="shared" si="16"/>
        <v>3316</v>
      </c>
      <c r="L111" s="94">
        <f t="shared" si="17"/>
        <v>3.635883331298828E-06</v>
      </c>
      <c r="M111" s="91">
        <f t="shared" si="18"/>
        <v>0</v>
      </c>
      <c r="N111" s="91">
        <f t="shared" si="19"/>
        <v>3.037780523300171E-08</v>
      </c>
      <c r="O111" s="92">
        <f t="shared" si="20"/>
        <v>3.037780523300171E-08</v>
      </c>
    </row>
    <row r="112" spans="1:15" ht="12.75">
      <c r="A112" s="4">
        <f t="shared" si="21"/>
        <v>43294</v>
      </c>
      <c r="B112" s="9">
        <f>IF(DIAS365('CALCULADORA TIPS Pesos E-11'!$E$6,A112)&lt;0,0,DIAS365('CALCULADORA TIPS Pesos E-11'!$E$6,A112))</f>
        <v>1794</v>
      </c>
      <c r="C112" s="5">
        <f>+HLOOKUP('CALCULADORA TIPS Pesos E-11'!$E$4,Tablas!$B$1:$C$181,Flujos!J112+1,FALSE)</f>
        <v>0</v>
      </c>
      <c r="D112" s="14">
        <f t="shared" si="13"/>
        <v>0</v>
      </c>
      <c r="E112" s="15">
        <f t="shared" si="14"/>
        <v>0</v>
      </c>
      <c r="F112" s="15">
        <f>ROUND(D111*ROUND(((1+'CALCULADORA TIPS Pesos E-11'!$C$14)^(1/12)-1),6),6)</f>
        <v>0</v>
      </c>
      <c r="G112" s="15">
        <f t="shared" si="15"/>
        <v>0</v>
      </c>
      <c r="H112" s="28">
        <f>IF($B112=0,0,G112/POWER(1+'CALCULADORA TIPS Pesos E-11'!$F$11,Flujos!$B112/365))</f>
        <v>0</v>
      </c>
      <c r="I112" s="30">
        <f t="shared" si="12"/>
        <v>43294</v>
      </c>
      <c r="J112" s="25">
        <v>110</v>
      </c>
      <c r="K112" s="12">
        <f t="shared" si="16"/>
        <v>3346</v>
      </c>
      <c r="L112" s="94">
        <f t="shared" si="17"/>
        <v>3.635883331298828E-06</v>
      </c>
      <c r="M112" s="91">
        <f t="shared" si="18"/>
        <v>0</v>
      </c>
      <c r="N112" s="91">
        <f t="shared" si="19"/>
        <v>3.037780523300171E-08</v>
      </c>
      <c r="O112" s="92">
        <f t="shared" si="20"/>
        <v>3.037780523300171E-08</v>
      </c>
    </row>
    <row r="113" spans="1:15" ht="12.75">
      <c r="A113" s="4">
        <f t="shared" si="21"/>
        <v>43325</v>
      </c>
      <c r="B113" s="9">
        <f>IF(DIAS365('CALCULADORA TIPS Pesos E-11'!$E$6,A113)&lt;0,0,DIAS365('CALCULADORA TIPS Pesos E-11'!$E$6,A113))</f>
        <v>1825</v>
      </c>
      <c r="C113" s="5">
        <f>+HLOOKUP('CALCULADORA TIPS Pesos E-11'!$E$4,Tablas!$B$1:$C$181,Flujos!J113+1,FALSE)</f>
        <v>0</v>
      </c>
      <c r="D113" s="14">
        <f t="shared" si="13"/>
        <v>0</v>
      </c>
      <c r="E113" s="15">
        <f t="shared" si="14"/>
        <v>0</v>
      </c>
      <c r="F113" s="15">
        <f>ROUND(D112*ROUND(((1+'CALCULADORA TIPS Pesos E-11'!$C$14)^(1/12)-1),6),6)</f>
        <v>0</v>
      </c>
      <c r="G113" s="15">
        <f t="shared" si="15"/>
        <v>0</v>
      </c>
      <c r="H113" s="28">
        <f>IF($B113=0,0,G113/POWER(1+'CALCULADORA TIPS Pesos E-11'!$F$11,Flujos!$B113/365))</f>
        <v>0</v>
      </c>
      <c r="I113" s="30">
        <f t="shared" si="12"/>
        <v>43325</v>
      </c>
      <c r="J113" s="25">
        <v>111</v>
      </c>
      <c r="K113" s="12">
        <f t="shared" si="16"/>
        <v>3377</v>
      </c>
      <c r="L113" s="94">
        <f t="shared" si="17"/>
        <v>3.635883331298828E-06</v>
      </c>
      <c r="M113" s="91">
        <f t="shared" si="18"/>
        <v>0</v>
      </c>
      <c r="N113" s="91">
        <f t="shared" si="19"/>
        <v>3.037780523300171E-08</v>
      </c>
      <c r="O113" s="92">
        <f t="shared" si="20"/>
        <v>3.037780523300171E-08</v>
      </c>
    </row>
    <row r="114" spans="1:15" ht="12.75">
      <c r="A114" s="4">
        <f t="shared" si="21"/>
        <v>43356</v>
      </c>
      <c r="B114" s="9">
        <f>IF(DIAS365('CALCULADORA TIPS Pesos E-11'!$E$6,A114)&lt;0,0,DIAS365('CALCULADORA TIPS Pesos E-11'!$E$6,A114))</f>
        <v>1856</v>
      </c>
      <c r="C114" s="5">
        <f>+HLOOKUP('CALCULADORA TIPS Pesos E-11'!$E$4,Tablas!$B$1:$C$181,Flujos!J114+1,FALSE)</f>
        <v>0</v>
      </c>
      <c r="D114" s="14">
        <f t="shared" si="13"/>
        <v>0</v>
      </c>
      <c r="E114" s="15">
        <f t="shared" si="14"/>
        <v>0</v>
      </c>
      <c r="F114" s="15">
        <f>ROUND(D113*ROUND(((1+'CALCULADORA TIPS Pesos E-11'!$C$14)^(1/12)-1),6),6)</f>
        <v>0</v>
      </c>
      <c r="G114" s="15">
        <f t="shared" si="15"/>
        <v>0</v>
      </c>
      <c r="H114" s="28">
        <f>IF($B114=0,0,G114/POWER(1+'CALCULADORA TIPS Pesos E-11'!$F$11,Flujos!$B114/365))</f>
        <v>0</v>
      </c>
      <c r="I114" s="30">
        <f t="shared" si="12"/>
        <v>43356</v>
      </c>
      <c r="J114" s="25">
        <v>112</v>
      </c>
      <c r="K114" s="12">
        <f t="shared" si="16"/>
        <v>3408</v>
      </c>
      <c r="L114" s="94">
        <f t="shared" si="17"/>
        <v>3.635883331298828E-06</v>
      </c>
      <c r="M114" s="91">
        <f t="shared" si="18"/>
        <v>0</v>
      </c>
      <c r="N114" s="91">
        <f t="shared" si="19"/>
        <v>3.037780523300171E-08</v>
      </c>
      <c r="O114" s="92">
        <f t="shared" si="20"/>
        <v>3.037780523300171E-08</v>
      </c>
    </row>
    <row r="115" spans="1:15" ht="12.75">
      <c r="A115" s="4">
        <f t="shared" si="21"/>
        <v>43386</v>
      </c>
      <c r="B115" s="9">
        <f>IF(DIAS365('CALCULADORA TIPS Pesos E-11'!$E$6,A115)&lt;0,0,DIAS365('CALCULADORA TIPS Pesos E-11'!$E$6,A115))</f>
        <v>1886</v>
      </c>
      <c r="C115" s="5">
        <f>+HLOOKUP('CALCULADORA TIPS Pesos E-11'!$E$4,Tablas!$B$1:$C$181,Flujos!J115+1,FALSE)</f>
        <v>0</v>
      </c>
      <c r="D115" s="14">
        <f t="shared" si="13"/>
        <v>0</v>
      </c>
      <c r="E115" s="15">
        <f t="shared" si="14"/>
        <v>0</v>
      </c>
      <c r="F115" s="15">
        <f>ROUND(D114*ROUND(((1+'CALCULADORA TIPS Pesos E-11'!$C$14)^(1/12)-1),6),6)</f>
        <v>0</v>
      </c>
      <c r="G115" s="15">
        <f t="shared" si="15"/>
        <v>0</v>
      </c>
      <c r="H115" s="28">
        <f>IF($B115=0,0,G115/POWER(1+'CALCULADORA TIPS Pesos E-11'!$F$11,Flujos!$B115/365))</f>
        <v>0</v>
      </c>
      <c r="I115" s="30">
        <f t="shared" si="12"/>
        <v>43386</v>
      </c>
      <c r="J115" s="25">
        <v>113</v>
      </c>
      <c r="K115" s="12">
        <f t="shared" si="16"/>
        <v>3438</v>
      </c>
      <c r="L115" s="94">
        <f t="shared" si="17"/>
        <v>3.635883331298828E-06</v>
      </c>
      <c r="M115" s="91">
        <f t="shared" si="18"/>
        <v>0</v>
      </c>
      <c r="N115" s="91">
        <f t="shared" si="19"/>
        <v>3.037780523300171E-08</v>
      </c>
      <c r="O115" s="92">
        <f t="shared" si="20"/>
        <v>3.037780523300171E-08</v>
      </c>
    </row>
    <row r="116" spans="1:15" ht="12.75">
      <c r="A116" s="4">
        <f t="shared" si="21"/>
        <v>43417</v>
      </c>
      <c r="B116" s="9">
        <f>IF(DIAS365('CALCULADORA TIPS Pesos E-11'!$E$6,A116)&lt;0,0,DIAS365('CALCULADORA TIPS Pesos E-11'!$E$6,A116))</f>
        <v>1917</v>
      </c>
      <c r="C116" s="5">
        <f>+HLOOKUP('CALCULADORA TIPS Pesos E-11'!$E$4,Tablas!$B$1:$C$181,Flujos!J116+1,FALSE)</f>
        <v>0</v>
      </c>
      <c r="D116" s="14">
        <f t="shared" si="13"/>
        <v>0</v>
      </c>
      <c r="E116" s="15">
        <f t="shared" si="14"/>
        <v>0</v>
      </c>
      <c r="F116" s="15">
        <f>ROUND(D115*ROUND(((1+'CALCULADORA TIPS Pesos E-11'!$C$14)^(1/12)-1),6),6)</f>
        <v>0</v>
      </c>
      <c r="G116" s="15">
        <f t="shared" si="15"/>
        <v>0</v>
      </c>
      <c r="H116" s="28">
        <f>IF($B116=0,0,G116/POWER(1+'CALCULADORA TIPS Pesos E-11'!$F$11,Flujos!$B116/365))</f>
        <v>0</v>
      </c>
      <c r="I116" s="30">
        <f t="shared" si="12"/>
        <v>43417</v>
      </c>
      <c r="J116" s="25">
        <v>114</v>
      </c>
      <c r="K116" s="12">
        <f t="shared" si="16"/>
        <v>3469</v>
      </c>
      <c r="L116" s="94">
        <f t="shared" si="17"/>
        <v>3.635883331298828E-06</v>
      </c>
      <c r="M116" s="91">
        <f t="shared" si="18"/>
        <v>0</v>
      </c>
      <c r="N116" s="91">
        <f t="shared" si="19"/>
        <v>3.037780523300171E-08</v>
      </c>
      <c r="O116" s="92">
        <f t="shared" si="20"/>
        <v>3.037780523300171E-08</v>
      </c>
    </row>
    <row r="117" spans="1:15" ht="12.75">
      <c r="A117" s="4">
        <f t="shared" si="21"/>
        <v>43447</v>
      </c>
      <c r="B117" s="9">
        <f>IF(DIAS365('CALCULADORA TIPS Pesos E-11'!$E$6,A117)&lt;0,0,DIAS365('CALCULADORA TIPS Pesos E-11'!$E$6,A117))</f>
        <v>1947</v>
      </c>
      <c r="C117" s="5">
        <f>+HLOOKUP('CALCULADORA TIPS Pesos E-11'!$E$4,Tablas!$B$1:$C$181,Flujos!J117+1,FALSE)</f>
        <v>0</v>
      </c>
      <c r="D117" s="14">
        <f t="shared" si="13"/>
        <v>0</v>
      </c>
      <c r="E117" s="15">
        <f t="shared" si="14"/>
        <v>0</v>
      </c>
      <c r="F117" s="15">
        <f>ROUND(D116*ROUND(((1+'CALCULADORA TIPS Pesos E-11'!$C$14)^(1/12)-1),6),6)</f>
        <v>0</v>
      </c>
      <c r="G117" s="15">
        <f t="shared" si="15"/>
        <v>0</v>
      </c>
      <c r="H117" s="28">
        <f>IF($B117=0,0,G117/POWER(1+'CALCULADORA TIPS Pesos E-11'!$F$11,Flujos!$B117/365))</f>
        <v>0</v>
      </c>
      <c r="I117" s="30">
        <f t="shared" si="12"/>
        <v>43447</v>
      </c>
      <c r="J117" s="25">
        <v>115</v>
      </c>
      <c r="K117" s="12">
        <f t="shared" si="16"/>
        <v>3499</v>
      </c>
      <c r="L117" s="94">
        <f t="shared" si="17"/>
        <v>3.635883331298828E-06</v>
      </c>
      <c r="M117" s="91">
        <f t="shared" si="18"/>
        <v>0</v>
      </c>
      <c r="N117" s="91">
        <f t="shared" si="19"/>
        <v>3.037780523300171E-08</v>
      </c>
      <c r="O117" s="92">
        <f t="shared" si="20"/>
        <v>3.037780523300171E-08</v>
      </c>
    </row>
    <row r="118" spans="1:15" ht="12.75">
      <c r="A118" s="4">
        <f t="shared" si="21"/>
        <v>43478</v>
      </c>
      <c r="B118" s="9">
        <f>IF(DIAS365('CALCULADORA TIPS Pesos E-11'!$E$6,A118)&lt;0,0,DIAS365('CALCULADORA TIPS Pesos E-11'!$E$6,A118))</f>
        <v>1978</v>
      </c>
      <c r="C118" s="5">
        <f>+HLOOKUP('CALCULADORA TIPS Pesos E-11'!$E$4,Tablas!$B$1:$C$181,Flujos!J118+1,FALSE)</f>
        <v>0</v>
      </c>
      <c r="D118" s="14">
        <f t="shared" si="13"/>
        <v>0</v>
      </c>
      <c r="E118" s="15">
        <f t="shared" si="14"/>
        <v>0</v>
      </c>
      <c r="F118" s="15">
        <f>ROUND(D117*ROUND(((1+'CALCULADORA TIPS Pesos E-11'!$C$14)^(1/12)-1),6),6)</f>
        <v>0</v>
      </c>
      <c r="G118" s="15">
        <f t="shared" si="15"/>
        <v>0</v>
      </c>
      <c r="H118" s="28">
        <f>IF($B118=0,0,G118/POWER(1+'CALCULADORA TIPS Pesos E-11'!$F$11,Flujos!$B118/365))</f>
        <v>0</v>
      </c>
      <c r="I118" s="30">
        <f t="shared" si="12"/>
        <v>43478</v>
      </c>
      <c r="J118" s="25">
        <v>116</v>
      </c>
      <c r="K118" s="12">
        <f t="shared" si="16"/>
        <v>3530</v>
      </c>
      <c r="L118" s="94">
        <f t="shared" si="17"/>
        <v>3.635883331298828E-06</v>
      </c>
      <c r="M118" s="91">
        <f t="shared" si="18"/>
        <v>0</v>
      </c>
      <c r="N118" s="91">
        <f t="shared" si="19"/>
        <v>3.037780523300171E-08</v>
      </c>
      <c r="O118" s="92">
        <f t="shared" si="20"/>
        <v>3.037780523300171E-08</v>
      </c>
    </row>
    <row r="119" spans="1:15" ht="12.75">
      <c r="A119" s="4">
        <f t="shared" si="21"/>
        <v>43509</v>
      </c>
      <c r="B119" s="9">
        <f>IF(DIAS365('CALCULADORA TIPS Pesos E-11'!$E$6,A119)&lt;0,0,DIAS365('CALCULADORA TIPS Pesos E-11'!$E$6,A119))</f>
        <v>2009</v>
      </c>
      <c r="C119" s="5">
        <f>+HLOOKUP('CALCULADORA TIPS Pesos E-11'!$E$4,Tablas!$B$1:$C$181,Flujos!J119+1,FALSE)</f>
        <v>0</v>
      </c>
      <c r="D119" s="14">
        <f t="shared" si="13"/>
        <v>0</v>
      </c>
      <c r="E119" s="15">
        <f t="shared" si="14"/>
        <v>0</v>
      </c>
      <c r="F119" s="15">
        <f>ROUND(D118*ROUND(((1+'CALCULADORA TIPS Pesos E-11'!$C$14)^(1/12)-1),6),6)</f>
        <v>0</v>
      </c>
      <c r="G119" s="15">
        <f t="shared" si="15"/>
        <v>0</v>
      </c>
      <c r="H119" s="28">
        <f>IF($B119=0,0,G119/POWER(1+'CALCULADORA TIPS Pesos E-11'!$F$11,Flujos!$B119/365))</f>
        <v>0</v>
      </c>
      <c r="I119" s="30">
        <f t="shared" si="12"/>
        <v>43509</v>
      </c>
      <c r="J119" s="25">
        <v>117</v>
      </c>
      <c r="K119" s="12">
        <f t="shared" si="16"/>
        <v>3561</v>
      </c>
      <c r="L119" s="94">
        <f t="shared" si="17"/>
        <v>3.635883331298828E-06</v>
      </c>
      <c r="M119" s="91">
        <f t="shared" si="18"/>
        <v>0</v>
      </c>
      <c r="N119" s="91">
        <f t="shared" si="19"/>
        <v>3.037780523300171E-08</v>
      </c>
      <c r="O119" s="92">
        <f t="shared" si="20"/>
        <v>3.037780523300171E-08</v>
      </c>
    </row>
    <row r="120" spans="1:15" ht="12.75">
      <c r="A120" s="4">
        <f t="shared" si="21"/>
        <v>43537</v>
      </c>
      <c r="B120" s="9">
        <f>IF(DIAS365('CALCULADORA TIPS Pesos E-11'!$E$6,A120)&lt;0,0,DIAS365('CALCULADORA TIPS Pesos E-11'!$E$6,A120))</f>
        <v>2037</v>
      </c>
      <c r="C120" s="5">
        <f>+HLOOKUP('CALCULADORA TIPS Pesos E-11'!$E$4,Tablas!$B$1:$C$181,Flujos!J120+1,FALSE)</f>
        <v>0</v>
      </c>
      <c r="D120" s="14">
        <f t="shared" si="13"/>
        <v>0</v>
      </c>
      <c r="E120" s="15">
        <f t="shared" si="14"/>
        <v>0</v>
      </c>
      <c r="F120" s="15">
        <f>ROUND(D119*ROUND(((1+'CALCULADORA TIPS Pesos E-11'!$C$14)^(1/12)-1),6),6)</f>
        <v>0</v>
      </c>
      <c r="G120" s="15">
        <f t="shared" si="15"/>
        <v>0</v>
      </c>
      <c r="H120" s="28">
        <f>IF($B120=0,0,G120/POWER(1+'CALCULADORA TIPS Pesos E-11'!$F$11,Flujos!$B120/365))</f>
        <v>0</v>
      </c>
      <c r="I120" s="30">
        <f t="shared" si="12"/>
        <v>43537</v>
      </c>
      <c r="J120" s="25">
        <v>118</v>
      </c>
      <c r="K120" s="12">
        <f t="shared" si="16"/>
        <v>3589</v>
      </c>
      <c r="L120" s="94">
        <f t="shared" si="17"/>
        <v>3.635883331298828E-06</v>
      </c>
      <c r="M120" s="91">
        <f t="shared" si="18"/>
        <v>0</v>
      </c>
      <c r="N120" s="91">
        <f t="shared" si="19"/>
        <v>3.037780523300171E-08</v>
      </c>
      <c r="O120" s="92">
        <f t="shared" si="20"/>
        <v>3.037780523300171E-08</v>
      </c>
    </row>
    <row r="121" spans="1:15" ht="12.75">
      <c r="A121" s="4">
        <f t="shared" si="21"/>
        <v>43568</v>
      </c>
      <c r="B121" s="9">
        <f>IF(DIAS365('CALCULADORA TIPS Pesos E-11'!$E$6,A121)&lt;0,0,DIAS365('CALCULADORA TIPS Pesos E-11'!$E$6,A121))</f>
        <v>2068</v>
      </c>
      <c r="C121" s="5">
        <f>+HLOOKUP('CALCULADORA TIPS Pesos E-11'!$E$4,Tablas!$B$1:$C$181,Flujos!J121+1,FALSE)</f>
        <v>0</v>
      </c>
      <c r="D121" s="14">
        <f t="shared" si="13"/>
        <v>0</v>
      </c>
      <c r="E121" s="15">
        <f t="shared" si="14"/>
        <v>0</v>
      </c>
      <c r="F121" s="15">
        <f>ROUND(D120*ROUND(((1+'CALCULADORA TIPS Pesos E-11'!$C$14)^(1/12)-1),6),6)</f>
        <v>0</v>
      </c>
      <c r="G121" s="15">
        <f t="shared" si="15"/>
        <v>0</v>
      </c>
      <c r="H121" s="28">
        <f>IF($B121=0,0,G121/POWER(1+'CALCULADORA TIPS Pesos E-11'!$F$11,Flujos!$B121/365))</f>
        <v>0</v>
      </c>
      <c r="I121" s="30">
        <f t="shared" si="12"/>
        <v>43568</v>
      </c>
      <c r="J121" s="25">
        <v>119</v>
      </c>
      <c r="K121" s="12">
        <f t="shared" si="16"/>
        <v>3620</v>
      </c>
      <c r="L121" s="94">
        <f t="shared" si="17"/>
        <v>3.635883331298828E-06</v>
      </c>
      <c r="M121" s="91">
        <f t="shared" si="18"/>
        <v>0</v>
      </c>
      <c r="N121" s="91">
        <f t="shared" si="19"/>
        <v>3.037780523300171E-08</v>
      </c>
      <c r="O121" s="92">
        <f t="shared" si="20"/>
        <v>3.037780523300171E-08</v>
      </c>
    </row>
    <row r="122" spans="1:15" ht="12.75">
      <c r="A122" s="4">
        <f t="shared" si="21"/>
        <v>43598</v>
      </c>
      <c r="B122" s="9">
        <f>IF(DIAS365('CALCULADORA TIPS Pesos E-11'!$E$6,A122)&lt;0,0,DIAS365('CALCULADORA TIPS Pesos E-11'!$E$6,A122))</f>
        <v>2098</v>
      </c>
      <c r="C122" s="5">
        <f>+HLOOKUP('CALCULADORA TIPS Pesos E-11'!$E$4,Tablas!$B$1:$C$181,Flujos!J122+1,FALSE)</f>
        <v>0</v>
      </c>
      <c r="D122" s="14">
        <f t="shared" si="13"/>
        <v>0</v>
      </c>
      <c r="E122" s="15">
        <f t="shared" si="14"/>
        <v>0</v>
      </c>
      <c r="F122" s="15">
        <f>ROUND(D121*ROUND(((1+'CALCULADORA TIPS Pesos E-11'!$C$14)^(1/12)-1),6),6)</f>
        <v>0</v>
      </c>
      <c r="G122" s="15">
        <f t="shared" si="15"/>
        <v>0</v>
      </c>
      <c r="H122" s="28">
        <f>IF($B122=0,0,G122/POWER(1+'CALCULADORA TIPS Pesos E-11'!$F$11,Flujos!$B122/365))</f>
        <v>0</v>
      </c>
      <c r="I122" s="30">
        <f t="shared" si="12"/>
        <v>43598</v>
      </c>
      <c r="J122" s="25">
        <v>120</v>
      </c>
      <c r="K122" s="12">
        <f t="shared" si="16"/>
        <v>3650</v>
      </c>
      <c r="L122" s="94">
        <f t="shared" si="17"/>
        <v>3.635883331298828E-06</v>
      </c>
      <c r="M122" s="91">
        <f t="shared" si="18"/>
        <v>0</v>
      </c>
      <c r="N122" s="91">
        <f t="shared" si="19"/>
        <v>3.037780523300171E-08</v>
      </c>
      <c r="O122" s="92">
        <f t="shared" si="20"/>
        <v>3.037780523300171E-08</v>
      </c>
    </row>
    <row r="123" spans="1:15" ht="12.75">
      <c r="A123" s="4">
        <f t="shared" si="21"/>
        <v>43629</v>
      </c>
      <c r="B123" s="9">
        <f>IF(DIAS365('CALCULADORA TIPS Pesos E-11'!$E$6,A123)&lt;0,0,DIAS365('CALCULADORA TIPS Pesos E-11'!$E$6,A123))</f>
        <v>2129</v>
      </c>
      <c r="C123" s="5">
        <f>+HLOOKUP('CALCULADORA TIPS Pesos E-11'!$E$4,Tablas!$B$1:$C$181,Flujos!J123+1,FALSE)</f>
        <v>0</v>
      </c>
      <c r="D123" s="14">
        <f t="shared" si="13"/>
        <v>0</v>
      </c>
      <c r="E123" s="15">
        <f t="shared" si="14"/>
        <v>0</v>
      </c>
      <c r="F123" s="15">
        <f>ROUND(D122*ROUND(((1+'CALCULADORA TIPS Pesos E-11'!$C$14)^(1/12)-1),6),6)</f>
        <v>0</v>
      </c>
      <c r="G123" s="15">
        <f t="shared" si="15"/>
        <v>0</v>
      </c>
      <c r="H123" s="28">
        <f>IF($B123=0,0,G123/POWER(1+'CALCULADORA TIPS Pesos E-11'!$F$11,Flujos!$B123/365))</f>
        <v>0</v>
      </c>
      <c r="I123" s="30">
        <f t="shared" si="12"/>
        <v>43629</v>
      </c>
      <c r="J123" s="25">
        <v>121</v>
      </c>
      <c r="K123" s="12">
        <f t="shared" si="16"/>
        <v>3681</v>
      </c>
      <c r="L123" s="94">
        <f t="shared" si="17"/>
        <v>3.635883331298828E-06</v>
      </c>
      <c r="M123" s="91">
        <f t="shared" si="18"/>
        <v>0</v>
      </c>
      <c r="N123" s="91">
        <f t="shared" si="19"/>
        <v>3.037780523300171E-08</v>
      </c>
      <c r="O123" s="92">
        <f t="shared" si="20"/>
        <v>3.037780523300171E-08</v>
      </c>
    </row>
    <row r="124" spans="1:15" ht="12.75">
      <c r="A124" s="4">
        <f t="shared" si="21"/>
        <v>43659</v>
      </c>
      <c r="B124" s="9">
        <f>IF(DIAS365('CALCULADORA TIPS Pesos E-11'!$E$6,A124)&lt;0,0,DIAS365('CALCULADORA TIPS Pesos E-11'!$E$6,A124))</f>
        <v>2159</v>
      </c>
      <c r="C124" s="5">
        <f>+HLOOKUP('CALCULADORA TIPS Pesos E-11'!$E$4,Tablas!$B$1:$C$181,Flujos!J124+1,FALSE)</f>
        <v>0</v>
      </c>
      <c r="D124" s="14">
        <f t="shared" si="13"/>
        <v>0</v>
      </c>
      <c r="E124" s="15">
        <f t="shared" si="14"/>
        <v>0</v>
      </c>
      <c r="F124" s="15">
        <f>ROUND(D123*ROUND(((1+'CALCULADORA TIPS Pesos E-11'!$C$14)^(1/12)-1),6),6)</f>
        <v>0</v>
      </c>
      <c r="G124" s="15">
        <f t="shared" si="15"/>
        <v>0</v>
      </c>
      <c r="H124" s="28">
        <f>IF($B124=0,0,G124/POWER(1+'CALCULADORA TIPS Pesos E-11'!$F$11,Flujos!$B124/365))</f>
        <v>0</v>
      </c>
      <c r="I124" s="30">
        <f t="shared" si="12"/>
        <v>43659</v>
      </c>
      <c r="J124" s="25">
        <v>122</v>
      </c>
      <c r="K124" s="12">
        <f t="shared" si="16"/>
        <v>3711</v>
      </c>
      <c r="L124" s="94">
        <f t="shared" si="17"/>
        <v>3.635883331298828E-06</v>
      </c>
      <c r="M124" s="91">
        <f t="shared" si="18"/>
        <v>0</v>
      </c>
      <c r="N124" s="91">
        <f t="shared" si="19"/>
        <v>3.037780523300171E-08</v>
      </c>
      <c r="O124" s="92">
        <f t="shared" si="20"/>
        <v>3.037780523300171E-08</v>
      </c>
    </row>
    <row r="125" spans="1:15" ht="12.75">
      <c r="A125" s="4">
        <f t="shared" si="21"/>
        <v>43690</v>
      </c>
      <c r="B125" s="9">
        <f>IF(DIAS365('CALCULADORA TIPS Pesos E-11'!$E$6,A125)&lt;0,0,DIAS365('CALCULADORA TIPS Pesos E-11'!$E$6,A125))</f>
        <v>2190</v>
      </c>
      <c r="C125" s="5">
        <f>+HLOOKUP('CALCULADORA TIPS Pesos E-11'!$E$4,Tablas!$B$1:$C$181,Flujos!J125+1,FALSE)</f>
        <v>0</v>
      </c>
      <c r="D125" s="14">
        <f t="shared" si="13"/>
        <v>0</v>
      </c>
      <c r="E125" s="15">
        <f t="shared" si="14"/>
        <v>0</v>
      </c>
      <c r="F125" s="15">
        <f>ROUND(D124*ROUND(((1+'CALCULADORA TIPS Pesos E-11'!$C$14)^(1/12)-1),6),6)</f>
        <v>0</v>
      </c>
      <c r="G125" s="15">
        <f t="shared" si="15"/>
        <v>0</v>
      </c>
      <c r="H125" s="28">
        <f>IF($B125=0,0,G125/POWER(1+'CALCULADORA TIPS Pesos E-11'!$F$11,Flujos!$B125/365))</f>
        <v>0</v>
      </c>
      <c r="I125" s="30">
        <f t="shared" si="12"/>
        <v>43690</v>
      </c>
      <c r="J125" s="25">
        <v>123</v>
      </c>
      <c r="K125" s="12">
        <f t="shared" si="16"/>
        <v>3742</v>
      </c>
      <c r="L125" s="94">
        <f t="shared" si="17"/>
        <v>3.635883331298828E-06</v>
      </c>
      <c r="M125" s="91">
        <f t="shared" si="18"/>
        <v>0</v>
      </c>
      <c r="N125" s="91">
        <f t="shared" si="19"/>
        <v>3.037780523300171E-08</v>
      </c>
      <c r="O125" s="92">
        <f t="shared" si="20"/>
        <v>3.037780523300171E-08</v>
      </c>
    </row>
    <row r="126" spans="1:15" ht="12.75">
      <c r="A126" s="4">
        <f t="shared" si="21"/>
        <v>43721</v>
      </c>
      <c r="B126" s="9">
        <f>IF(DIAS365('CALCULADORA TIPS Pesos E-11'!$E$6,A126)&lt;0,0,DIAS365('CALCULADORA TIPS Pesos E-11'!$E$6,A126))</f>
        <v>2221</v>
      </c>
      <c r="C126" s="5">
        <f>+HLOOKUP('CALCULADORA TIPS Pesos E-11'!$E$4,Tablas!$B$1:$C$181,Flujos!J126+1,FALSE)</f>
        <v>0</v>
      </c>
      <c r="D126" s="14">
        <f t="shared" si="13"/>
        <v>0</v>
      </c>
      <c r="E126" s="15">
        <f t="shared" si="14"/>
        <v>0</v>
      </c>
      <c r="F126" s="15">
        <f>ROUND(D125*ROUND(((1+'CALCULADORA TIPS Pesos E-11'!$C$14)^(1/12)-1),6),6)</f>
        <v>0</v>
      </c>
      <c r="G126" s="15">
        <f t="shared" si="15"/>
        <v>0</v>
      </c>
      <c r="H126" s="28">
        <f>IF($B126=0,0,G126/POWER(1+'CALCULADORA TIPS Pesos E-11'!$F$11,Flujos!$B126/365))</f>
        <v>0</v>
      </c>
      <c r="I126" s="30">
        <f t="shared" si="12"/>
        <v>43721</v>
      </c>
      <c r="J126" s="25">
        <v>124</v>
      </c>
      <c r="K126" s="12">
        <f t="shared" si="16"/>
        <v>3773</v>
      </c>
      <c r="L126" s="94">
        <f t="shared" si="17"/>
        <v>3.635883331298828E-06</v>
      </c>
      <c r="M126" s="91">
        <f t="shared" si="18"/>
        <v>0</v>
      </c>
      <c r="N126" s="91">
        <f t="shared" si="19"/>
        <v>3.037780523300171E-08</v>
      </c>
      <c r="O126" s="92">
        <f t="shared" si="20"/>
        <v>3.037780523300171E-08</v>
      </c>
    </row>
    <row r="127" spans="1:15" ht="12.75">
      <c r="A127" s="4">
        <f t="shared" si="21"/>
        <v>43751</v>
      </c>
      <c r="B127" s="9">
        <f>IF(DIAS365('CALCULADORA TIPS Pesos E-11'!$E$6,A127)&lt;0,0,DIAS365('CALCULADORA TIPS Pesos E-11'!$E$6,A127))</f>
        <v>2251</v>
      </c>
      <c r="C127" s="5">
        <f>+HLOOKUP('CALCULADORA TIPS Pesos E-11'!$E$4,Tablas!$B$1:$C$181,Flujos!J127+1,FALSE)</f>
        <v>0</v>
      </c>
      <c r="D127" s="14">
        <f t="shared" si="13"/>
        <v>0</v>
      </c>
      <c r="E127" s="15">
        <f t="shared" si="14"/>
        <v>0</v>
      </c>
      <c r="F127" s="15">
        <f>ROUND(D126*ROUND(((1+'CALCULADORA TIPS Pesos E-11'!$C$14)^(1/12)-1),6),6)</f>
        <v>0</v>
      </c>
      <c r="G127" s="15">
        <f t="shared" si="15"/>
        <v>0</v>
      </c>
      <c r="H127" s="28">
        <f>IF($B127=0,0,G127/POWER(1+'CALCULADORA TIPS Pesos E-11'!$F$11,Flujos!$B127/365))</f>
        <v>0</v>
      </c>
      <c r="I127" s="30">
        <f t="shared" si="12"/>
        <v>43751</v>
      </c>
      <c r="J127" s="25">
        <v>125</v>
      </c>
      <c r="K127" s="12">
        <f t="shared" si="16"/>
        <v>3803</v>
      </c>
      <c r="L127" s="94">
        <f t="shared" si="17"/>
        <v>3.635883331298828E-06</v>
      </c>
      <c r="M127" s="91">
        <f t="shared" si="18"/>
        <v>0</v>
      </c>
      <c r="N127" s="91">
        <f t="shared" si="19"/>
        <v>3.037780523300171E-08</v>
      </c>
      <c r="O127" s="92">
        <f t="shared" si="20"/>
        <v>3.037780523300171E-08</v>
      </c>
    </row>
    <row r="128" spans="1:15" ht="12.75">
      <c r="A128" s="4">
        <f t="shared" si="21"/>
        <v>43782</v>
      </c>
      <c r="B128" s="9">
        <f>IF(DIAS365('CALCULADORA TIPS Pesos E-11'!$E$6,A128)&lt;0,0,DIAS365('CALCULADORA TIPS Pesos E-11'!$E$6,A128))</f>
        <v>2282</v>
      </c>
      <c r="C128" s="5">
        <f>+HLOOKUP('CALCULADORA TIPS Pesos E-11'!$E$4,Tablas!$B$1:$C$181,Flujos!J128+1,FALSE)</f>
        <v>0</v>
      </c>
      <c r="D128" s="14">
        <f t="shared" si="13"/>
        <v>0</v>
      </c>
      <c r="E128" s="15">
        <f t="shared" si="14"/>
        <v>0</v>
      </c>
      <c r="F128" s="15">
        <f>ROUND(D127*ROUND(((1+'CALCULADORA TIPS Pesos E-11'!$C$14)^(1/12)-1),6),6)</f>
        <v>0</v>
      </c>
      <c r="G128" s="15">
        <f t="shared" si="15"/>
        <v>0</v>
      </c>
      <c r="H128" s="28">
        <f>IF($B128=0,0,G128/POWER(1+'CALCULADORA TIPS Pesos E-11'!$F$11,Flujos!$B128/365))</f>
        <v>0</v>
      </c>
      <c r="I128" s="30">
        <f t="shared" si="12"/>
        <v>43782</v>
      </c>
      <c r="J128" s="25">
        <v>126</v>
      </c>
      <c r="K128" s="12">
        <f t="shared" si="16"/>
        <v>3834</v>
      </c>
      <c r="L128" s="94">
        <f t="shared" si="17"/>
        <v>3.635883331298828E-06</v>
      </c>
      <c r="M128" s="91">
        <f t="shared" si="18"/>
        <v>0</v>
      </c>
      <c r="N128" s="91">
        <f t="shared" si="19"/>
        <v>3.037780523300171E-08</v>
      </c>
      <c r="O128" s="92">
        <f t="shared" si="20"/>
        <v>3.037780523300171E-08</v>
      </c>
    </row>
    <row r="129" spans="1:15" ht="12.75">
      <c r="A129" s="4">
        <f t="shared" si="21"/>
        <v>43812</v>
      </c>
      <c r="B129" s="9">
        <f>IF(DIAS365('CALCULADORA TIPS Pesos E-11'!$E$6,A129)&lt;0,0,DIAS365('CALCULADORA TIPS Pesos E-11'!$E$6,A129))</f>
        <v>2312</v>
      </c>
      <c r="C129" s="5">
        <f>+HLOOKUP('CALCULADORA TIPS Pesos E-11'!$E$4,Tablas!$B$1:$C$181,Flujos!J129+1,FALSE)</f>
        <v>0</v>
      </c>
      <c r="D129" s="14">
        <f t="shared" si="13"/>
        <v>0</v>
      </c>
      <c r="E129" s="15">
        <f t="shared" si="14"/>
        <v>0</v>
      </c>
      <c r="F129" s="15">
        <f>ROUND(D128*ROUND(((1+'CALCULADORA TIPS Pesos E-11'!$C$14)^(1/12)-1),6),6)</f>
        <v>0</v>
      </c>
      <c r="G129" s="15">
        <f t="shared" si="15"/>
        <v>0</v>
      </c>
      <c r="H129" s="28">
        <f>IF($B129=0,0,G129/POWER(1+'CALCULADORA TIPS Pesos E-11'!$F$11,Flujos!$B129/365))</f>
        <v>0</v>
      </c>
      <c r="I129" s="30">
        <f t="shared" si="12"/>
        <v>43812</v>
      </c>
      <c r="J129" s="25">
        <v>127</v>
      </c>
      <c r="K129" s="12">
        <f t="shared" si="16"/>
        <v>3864</v>
      </c>
      <c r="L129" s="94">
        <f t="shared" si="17"/>
        <v>3.635883331298828E-06</v>
      </c>
      <c r="M129" s="91">
        <f t="shared" si="18"/>
        <v>0</v>
      </c>
      <c r="N129" s="91">
        <f t="shared" si="19"/>
        <v>3.037780523300171E-08</v>
      </c>
      <c r="O129" s="92">
        <f t="shared" si="20"/>
        <v>3.037780523300171E-08</v>
      </c>
    </row>
    <row r="130" spans="1:15" ht="12.75">
      <c r="A130" s="4">
        <f t="shared" si="21"/>
        <v>43843</v>
      </c>
      <c r="B130" s="9">
        <f>IF(DIAS365('CALCULADORA TIPS Pesos E-11'!$E$6,A130)&lt;0,0,DIAS365('CALCULADORA TIPS Pesos E-11'!$E$6,A130))</f>
        <v>2343</v>
      </c>
      <c r="C130" s="5">
        <f>+HLOOKUP('CALCULADORA TIPS Pesos E-11'!$E$4,Tablas!$B$1:$C$181,Flujos!J130+1,FALSE)</f>
        <v>0</v>
      </c>
      <c r="D130" s="14">
        <f t="shared" si="13"/>
        <v>0</v>
      </c>
      <c r="E130" s="15">
        <f t="shared" si="14"/>
        <v>0</v>
      </c>
      <c r="F130" s="15">
        <f>ROUND(D129*ROUND(((1+'CALCULADORA TIPS Pesos E-11'!$C$14)^(1/12)-1),6),6)</f>
        <v>0</v>
      </c>
      <c r="G130" s="15">
        <f t="shared" si="15"/>
        <v>0</v>
      </c>
      <c r="H130" s="28">
        <f>IF($B130=0,0,G130/POWER(1+'CALCULADORA TIPS Pesos E-11'!$F$11,Flujos!$B130/365))</f>
        <v>0</v>
      </c>
      <c r="I130" s="30">
        <f t="shared" si="12"/>
        <v>43843</v>
      </c>
      <c r="J130" s="25">
        <v>128</v>
      </c>
      <c r="K130" s="12">
        <f t="shared" si="16"/>
        <v>3895</v>
      </c>
      <c r="L130" s="94">
        <f t="shared" si="17"/>
        <v>3.635883331298828E-06</v>
      </c>
      <c r="M130" s="91">
        <f t="shared" si="18"/>
        <v>0</v>
      </c>
      <c r="N130" s="91">
        <f t="shared" si="19"/>
        <v>3.037780523300171E-08</v>
      </c>
      <c r="O130" s="92">
        <f t="shared" si="20"/>
        <v>3.037780523300171E-08</v>
      </c>
    </row>
    <row r="131" spans="1:15" ht="12.75">
      <c r="A131" s="4">
        <f aca="true" t="shared" si="22" ref="A131:A162">_XLL.FECHA.MES(A130,1)</f>
        <v>43874</v>
      </c>
      <c r="B131" s="9">
        <f>IF(DIAS365('CALCULADORA TIPS Pesos E-11'!$E$6,A131)&lt;0,0,DIAS365('CALCULADORA TIPS Pesos E-11'!$E$6,A131))</f>
        <v>2374</v>
      </c>
      <c r="C131" s="5">
        <f>+HLOOKUP('CALCULADORA TIPS Pesos E-11'!$E$4,Tablas!$B$1:$C$181,Flujos!J131+1,FALSE)</f>
        <v>0</v>
      </c>
      <c r="D131" s="14">
        <f t="shared" si="13"/>
        <v>0</v>
      </c>
      <c r="E131" s="15">
        <f t="shared" si="14"/>
        <v>0</v>
      </c>
      <c r="F131" s="15">
        <f>ROUND(D130*ROUND(((1+'CALCULADORA TIPS Pesos E-11'!$C$14)^(1/12)-1),6),6)</f>
        <v>0</v>
      </c>
      <c r="G131" s="15">
        <f t="shared" si="15"/>
        <v>0</v>
      </c>
      <c r="H131" s="28">
        <f>IF($B131=0,0,G131/POWER(1+'CALCULADORA TIPS Pesos E-11'!$F$11,Flujos!$B131/365))</f>
        <v>0</v>
      </c>
      <c r="I131" s="30">
        <f aca="true" t="shared" si="23" ref="I131:I182">+A131</f>
        <v>43874</v>
      </c>
      <c r="J131" s="25">
        <v>129</v>
      </c>
      <c r="K131" s="12">
        <f t="shared" si="16"/>
        <v>3926</v>
      </c>
      <c r="L131" s="94">
        <f t="shared" si="17"/>
        <v>3.635883331298828E-06</v>
      </c>
      <c r="M131" s="91">
        <f t="shared" si="18"/>
        <v>0</v>
      </c>
      <c r="N131" s="91">
        <f t="shared" si="19"/>
        <v>3.037780523300171E-08</v>
      </c>
      <c r="O131" s="92">
        <f t="shared" si="20"/>
        <v>3.037780523300171E-08</v>
      </c>
    </row>
    <row r="132" spans="1:15" ht="12.75">
      <c r="A132" s="4">
        <f t="shared" si="22"/>
        <v>43903</v>
      </c>
      <c r="B132" s="9">
        <f>IF(DIAS365('CALCULADORA TIPS Pesos E-11'!$E$6,A132)&lt;0,0,DIAS365('CALCULADORA TIPS Pesos E-11'!$E$6,A132))</f>
        <v>2402</v>
      </c>
      <c r="C132" s="5">
        <f>+HLOOKUP('CALCULADORA TIPS Pesos E-11'!$E$4,Tablas!$B$1:$C$181,Flujos!J132+1,FALSE)</f>
        <v>0</v>
      </c>
      <c r="D132" s="14">
        <f aca="true" t="shared" si="24" ref="D132:D182">+ROUND(D131-E132,6)</f>
        <v>0</v>
      </c>
      <c r="E132" s="15">
        <f aca="true" t="shared" si="25" ref="E132:E182">ROUND(C132*$D$2,6)</f>
        <v>0</v>
      </c>
      <c r="F132" s="15">
        <f>ROUND(D131*ROUND(((1+'CALCULADORA TIPS Pesos E-11'!$C$14)^(1/12)-1),6),6)</f>
        <v>0</v>
      </c>
      <c r="G132" s="15">
        <f aca="true" t="shared" si="26" ref="G132:G182">F132+E132</f>
        <v>0</v>
      </c>
      <c r="H132" s="28">
        <f>IF($B132=0,0,G132/POWER(1+'CALCULADORA TIPS Pesos E-11'!$F$11,Flujos!$B132/365))</f>
        <v>0</v>
      </c>
      <c r="I132" s="30">
        <f t="shared" si="23"/>
        <v>43903</v>
      </c>
      <c r="J132" s="25">
        <v>130</v>
      </c>
      <c r="K132" s="12">
        <f aca="true" t="shared" si="27" ref="K132:K182">+DIAS365($A$2,A132)</f>
        <v>3954</v>
      </c>
      <c r="L132" s="94">
        <f aca="true" t="shared" si="28" ref="L132:L182">+L131-M132</f>
        <v>3.635883331298828E-06</v>
      </c>
      <c r="M132" s="91">
        <f aca="true" t="shared" si="29" ref="M132:M182">+$L$2*C132</f>
        <v>0</v>
      </c>
      <c r="N132" s="91">
        <f aca="true" t="shared" si="30" ref="N132:N182">+L131*$F$3%</f>
        <v>3.037780523300171E-08</v>
      </c>
      <c r="O132" s="92">
        <f aca="true" t="shared" si="31" ref="O132:O182">+N132+M132</f>
        <v>3.037780523300171E-08</v>
      </c>
    </row>
    <row r="133" spans="1:15" ht="12.75">
      <c r="A133" s="4">
        <f t="shared" si="22"/>
        <v>43934</v>
      </c>
      <c r="B133" s="9">
        <f>IF(DIAS365('CALCULADORA TIPS Pesos E-11'!$E$6,A133)&lt;0,0,DIAS365('CALCULADORA TIPS Pesos E-11'!$E$6,A133))</f>
        <v>2433</v>
      </c>
      <c r="C133" s="5">
        <f>+HLOOKUP('CALCULADORA TIPS Pesos E-11'!$E$4,Tablas!$B$1:$C$181,Flujos!J133+1,FALSE)</f>
        <v>0</v>
      </c>
      <c r="D133" s="14">
        <f t="shared" si="24"/>
        <v>0</v>
      </c>
      <c r="E133" s="15">
        <f t="shared" si="25"/>
        <v>0</v>
      </c>
      <c r="F133" s="15">
        <f>ROUND(D132*ROUND(((1+'CALCULADORA TIPS Pesos E-11'!$C$14)^(1/12)-1),6),6)</f>
        <v>0</v>
      </c>
      <c r="G133" s="15">
        <f t="shared" si="26"/>
        <v>0</v>
      </c>
      <c r="H133" s="28">
        <f>IF($B133=0,0,G133/POWER(1+'CALCULADORA TIPS Pesos E-11'!$F$11,Flujos!$B133/365))</f>
        <v>0</v>
      </c>
      <c r="I133" s="30">
        <f t="shared" si="23"/>
        <v>43934</v>
      </c>
      <c r="J133" s="25">
        <v>131</v>
      </c>
      <c r="K133" s="12">
        <f t="shared" si="27"/>
        <v>3985</v>
      </c>
      <c r="L133" s="94">
        <f t="shared" si="28"/>
        <v>3.635883331298828E-06</v>
      </c>
      <c r="M133" s="91">
        <f t="shared" si="29"/>
        <v>0</v>
      </c>
      <c r="N133" s="91">
        <f t="shared" si="30"/>
        <v>3.037780523300171E-08</v>
      </c>
      <c r="O133" s="92">
        <f t="shared" si="31"/>
        <v>3.037780523300171E-08</v>
      </c>
    </row>
    <row r="134" spans="1:15" ht="12.75">
      <c r="A134" s="4">
        <f t="shared" si="22"/>
        <v>43964</v>
      </c>
      <c r="B134" s="9">
        <f>IF(DIAS365('CALCULADORA TIPS Pesos E-11'!$E$6,A134)&lt;0,0,DIAS365('CALCULADORA TIPS Pesos E-11'!$E$6,A134))</f>
        <v>2463</v>
      </c>
      <c r="C134" s="5">
        <f>+HLOOKUP('CALCULADORA TIPS Pesos E-11'!$E$4,Tablas!$B$1:$C$181,Flujos!J134+1,FALSE)</f>
        <v>0</v>
      </c>
      <c r="D134" s="14">
        <f t="shared" si="24"/>
        <v>0</v>
      </c>
      <c r="E134" s="15">
        <f t="shared" si="25"/>
        <v>0</v>
      </c>
      <c r="F134" s="15">
        <f>ROUND(D133*ROUND(((1+'CALCULADORA TIPS Pesos E-11'!$C$14)^(1/12)-1),6),6)</f>
        <v>0</v>
      </c>
      <c r="G134" s="15">
        <f t="shared" si="26"/>
        <v>0</v>
      </c>
      <c r="H134" s="28">
        <f>IF($B134=0,0,G134/POWER(1+'CALCULADORA TIPS Pesos E-11'!$F$11,Flujos!$B134/365))</f>
        <v>0</v>
      </c>
      <c r="I134" s="30">
        <f t="shared" si="23"/>
        <v>43964</v>
      </c>
      <c r="J134" s="25">
        <v>132</v>
      </c>
      <c r="K134" s="12">
        <f t="shared" si="27"/>
        <v>4015</v>
      </c>
      <c r="L134" s="94">
        <f t="shared" si="28"/>
        <v>3.635883331298828E-06</v>
      </c>
      <c r="M134" s="91">
        <f t="shared" si="29"/>
        <v>0</v>
      </c>
      <c r="N134" s="91">
        <f t="shared" si="30"/>
        <v>3.037780523300171E-08</v>
      </c>
      <c r="O134" s="92">
        <f t="shared" si="31"/>
        <v>3.037780523300171E-08</v>
      </c>
    </row>
    <row r="135" spans="1:15" ht="12.75">
      <c r="A135" s="4">
        <f t="shared" si="22"/>
        <v>43995</v>
      </c>
      <c r="B135" s="9">
        <f>IF(DIAS365('CALCULADORA TIPS Pesos E-11'!$E$6,A135)&lt;0,0,DIAS365('CALCULADORA TIPS Pesos E-11'!$E$6,A135))</f>
        <v>2494</v>
      </c>
      <c r="C135" s="5">
        <f>+HLOOKUP('CALCULADORA TIPS Pesos E-11'!$E$4,Tablas!$B$1:$C$181,Flujos!J135+1,FALSE)</f>
        <v>0</v>
      </c>
      <c r="D135" s="14">
        <f t="shared" si="24"/>
        <v>0</v>
      </c>
      <c r="E135" s="15">
        <f t="shared" si="25"/>
        <v>0</v>
      </c>
      <c r="F135" s="15">
        <f>ROUND(D134*ROUND(((1+'CALCULADORA TIPS Pesos E-11'!$C$14)^(1/12)-1),6),6)</f>
        <v>0</v>
      </c>
      <c r="G135" s="15">
        <f t="shared" si="26"/>
        <v>0</v>
      </c>
      <c r="H135" s="28">
        <f>IF($B135=0,0,G135/POWER(1+'CALCULADORA TIPS Pesos E-11'!$F$11,Flujos!$B135/365))</f>
        <v>0</v>
      </c>
      <c r="I135" s="30">
        <f t="shared" si="23"/>
        <v>43995</v>
      </c>
      <c r="J135" s="25">
        <v>133</v>
      </c>
      <c r="K135" s="12">
        <f t="shared" si="27"/>
        <v>4046</v>
      </c>
      <c r="L135" s="94">
        <f t="shared" si="28"/>
        <v>3.635883331298828E-06</v>
      </c>
      <c r="M135" s="91">
        <f t="shared" si="29"/>
        <v>0</v>
      </c>
      <c r="N135" s="91">
        <f t="shared" si="30"/>
        <v>3.037780523300171E-08</v>
      </c>
      <c r="O135" s="92">
        <f t="shared" si="31"/>
        <v>3.037780523300171E-08</v>
      </c>
    </row>
    <row r="136" spans="1:15" ht="12.75">
      <c r="A136" s="4">
        <f t="shared" si="22"/>
        <v>44025</v>
      </c>
      <c r="B136" s="9">
        <f>IF(DIAS365('CALCULADORA TIPS Pesos E-11'!$E$6,A136)&lt;0,0,DIAS365('CALCULADORA TIPS Pesos E-11'!$E$6,A136))</f>
        <v>2524</v>
      </c>
      <c r="C136" s="5">
        <f>+HLOOKUP('CALCULADORA TIPS Pesos E-11'!$E$4,Tablas!$B$1:$C$181,Flujos!J136+1,FALSE)</f>
        <v>0</v>
      </c>
      <c r="D136" s="14">
        <f t="shared" si="24"/>
        <v>0</v>
      </c>
      <c r="E136" s="15">
        <f t="shared" si="25"/>
        <v>0</v>
      </c>
      <c r="F136" s="15">
        <f>ROUND(D135*ROUND(((1+'CALCULADORA TIPS Pesos E-11'!$C$14)^(1/12)-1),6),6)</f>
        <v>0</v>
      </c>
      <c r="G136" s="15">
        <f t="shared" si="26"/>
        <v>0</v>
      </c>
      <c r="H136" s="28">
        <f>IF($B136=0,0,G136/POWER(1+'CALCULADORA TIPS Pesos E-11'!$F$11,Flujos!$B136/365))</f>
        <v>0</v>
      </c>
      <c r="I136" s="30">
        <f t="shared" si="23"/>
        <v>44025</v>
      </c>
      <c r="J136" s="25">
        <v>134</v>
      </c>
      <c r="K136" s="12">
        <f t="shared" si="27"/>
        <v>4076</v>
      </c>
      <c r="L136" s="94">
        <f t="shared" si="28"/>
        <v>3.635883331298828E-06</v>
      </c>
      <c r="M136" s="91">
        <f t="shared" si="29"/>
        <v>0</v>
      </c>
      <c r="N136" s="91">
        <f t="shared" si="30"/>
        <v>3.037780523300171E-08</v>
      </c>
      <c r="O136" s="92">
        <f t="shared" si="31"/>
        <v>3.037780523300171E-08</v>
      </c>
    </row>
    <row r="137" spans="1:15" ht="12.75">
      <c r="A137" s="4">
        <f t="shared" si="22"/>
        <v>44056</v>
      </c>
      <c r="B137" s="9">
        <f>IF(DIAS365('CALCULADORA TIPS Pesos E-11'!$E$6,A137)&lt;0,0,DIAS365('CALCULADORA TIPS Pesos E-11'!$E$6,A137))</f>
        <v>2555</v>
      </c>
      <c r="C137" s="5">
        <f>+HLOOKUP('CALCULADORA TIPS Pesos E-11'!$E$4,Tablas!$B$1:$C$181,Flujos!J137+1,FALSE)</f>
        <v>0</v>
      </c>
      <c r="D137" s="14">
        <f t="shared" si="24"/>
        <v>0</v>
      </c>
      <c r="E137" s="15">
        <f t="shared" si="25"/>
        <v>0</v>
      </c>
      <c r="F137" s="15">
        <f>ROUND(D136*ROUND(((1+'CALCULADORA TIPS Pesos E-11'!$C$14)^(1/12)-1),6),6)</f>
        <v>0</v>
      </c>
      <c r="G137" s="15">
        <f t="shared" si="26"/>
        <v>0</v>
      </c>
      <c r="H137" s="28">
        <f>IF($B137=0,0,G137/POWER(1+'CALCULADORA TIPS Pesos E-11'!$F$11,Flujos!$B137/365))</f>
        <v>0</v>
      </c>
      <c r="I137" s="30">
        <f t="shared" si="23"/>
        <v>44056</v>
      </c>
      <c r="J137" s="25">
        <v>135</v>
      </c>
      <c r="K137" s="12">
        <f t="shared" si="27"/>
        <v>4107</v>
      </c>
      <c r="L137" s="94">
        <f t="shared" si="28"/>
        <v>3.635883331298828E-06</v>
      </c>
      <c r="M137" s="91">
        <f t="shared" si="29"/>
        <v>0</v>
      </c>
      <c r="N137" s="91">
        <f t="shared" si="30"/>
        <v>3.037780523300171E-08</v>
      </c>
      <c r="O137" s="92">
        <f t="shared" si="31"/>
        <v>3.037780523300171E-08</v>
      </c>
    </row>
    <row r="138" spans="1:15" ht="12.75">
      <c r="A138" s="4">
        <f t="shared" si="22"/>
        <v>44087</v>
      </c>
      <c r="B138" s="9">
        <f>IF(DIAS365('CALCULADORA TIPS Pesos E-11'!$E$6,A138)&lt;0,0,DIAS365('CALCULADORA TIPS Pesos E-11'!$E$6,A138))</f>
        <v>2586</v>
      </c>
      <c r="C138" s="5">
        <f>+HLOOKUP('CALCULADORA TIPS Pesos E-11'!$E$4,Tablas!$B$1:$C$181,Flujos!J138+1,FALSE)</f>
        <v>0</v>
      </c>
      <c r="D138" s="14">
        <f t="shared" si="24"/>
        <v>0</v>
      </c>
      <c r="E138" s="15">
        <f t="shared" si="25"/>
        <v>0</v>
      </c>
      <c r="F138" s="15">
        <f>ROUND(D137*ROUND(((1+'CALCULADORA TIPS Pesos E-11'!$C$14)^(1/12)-1),6),6)</f>
        <v>0</v>
      </c>
      <c r="G138" s="15">
        <f t="shared" si="26"/>
        <v>0</v>
      </c>
      <c r="H138" s="28">
        <f>IF($B138=0,0,G138/POWER(1+'CALCULADORA TIPS Pesos E-11'!$F$11,Flujos!$B138/365))</f>
        <v>0</v>
      </c>
      <c r="I138" s="30">
        <f t="shared" si="23"/>
        <v>44087</v>
      </c>
      <c r="J138" s="25">
        <v>136</v>
      </c>
      <c r="K138" s="12">
        <f t="shared" si="27"/>
        <v>4138</v>
      </c>
      <c r="L138" s="94">
        <f t="shared" si="28"/>
        <v>3.635883331298828E-06</v>
      </c>
      <c r="M138" s="91">
        <f t="shared" si="29"/>
        <v>0</v>
      </c>
      <c r="N138" s="91">
        <f t="shared" si="30"/>
        <v>3.037780523300171E-08</v>
      </c>
      <c r="O138" s="92">
        <f t="shared" si="31"/>
        <v>3.037780523300171E-08</v>
      </c>
    </row>
    <row r="139" spans="1:15" ht="12.75">
      <c r="A139" s="4">
        <f t="shared" si="22"/>
        <v>44117</v>
      </c>
      <c r="B139" s="9">
        <f>IF(DIAS365('CALCULADORA TIPS Pesos E-11'!$E$6,A139)&lt;0,0,DIAS365('CALCULADORA TIPS Pesos E-11'!$E$6,A139))</f>
        <v>2616</v>
      </c>
      <c r="C139" s="5">
        <f>+HLOOKUP('CALCULADORA TIPS Pesos E-11'!$E$4,Tablas!$B$1:$C$181,Flujos!J139+1,FALSE)</f>
        <v>0</v>
      </c>
      <c r="D139" s="14">
        <f t="shared" si="24"/>
        <v>0</v>
      </c>
      <c r="E139" s="15">
        <f t="shared" si="25"/>
        <v>0</v>
      </c>
      <c r="F139" s="15">
        <f>ROUND(D138*ROUND(((1+'CALCULADORA TIPS Pesos E-11'!$C$14)^(1/12)-1),6),6)</f>
        <v>0</v>
      </c>
      <c r="G139" s="15">
        <f t="shared" si="26"/>
        <v>0</v>
      </c>
      <c r="H139" s="28">
        <f>IF($B139=0,0,G139/POWER(1+'CALCULADORA TIPS Pesos E-11'!$F$11,Flujos!$B139/365))</f>
        <v>0</v>
      </c>
      <c r="I139" s="30">
        <f t="shared" si="23"/>
        <v>44117</v>
      </c>
      <c r="J139" s="25">
        <v>137</v>
      </c>
      <c r="K139" s="12">
        <f t="shared" si="27"/>
        <v>4168</v>
      </c>
      <c r="L139" s="94">
        <f t="shared" si="28"/>
        <v>3.635883331298828E-06</v>
      </c>
      <c r="M139" s="91">
        <f t="shared" si="29"/>
        <v>0</v>
      </c>
      <c r="N139" s="91">
        <f t="shared" si="30"/>
        <v>3.037780523300171E-08</v>
      </c>
      <c r="O139" s="92">
        <f t="shared" si="31"/>
        <v>3.037780523300171E-08</v>
      </c>
    </row>
    <row r="140" spans="1:15" ht="12.75">
      <c r="A140" s="4">
        <f t="shared" si="22"/>
        <v>44148</v>
      </c>
      <c r="B140" s="9">
        <f>IF(DIAS365('CALCULADORA TIPS Pesos E-11'!$E$6,A140)&lt;0,0,DIAS365('CALCULADORA TIPS Pesos E-11'!$E$6,A140))</f>
        <v>2647</v>
      </c>
      <c r="C140" s="5">
        <f>+HLOOKUP('CALCULADORA TIPS Pesos E-11'!$E$4,Tablas!$B$1:$C$181,Flujos!J140+1,FALSE)</f>
        <v>0</v>
      </c>
      <c r="D140" s="14">
        <f t="shared" si="24"/>
        <v>0</v>
      </c>
      <c r="E140" s="15">
        <f t="shared" si="25"/>
        <v>0</v>
      </c>
      <c r="F140" s="15">
        <f>ROUND(D139*ROUND(((1+'CALCULADORA TIPS Pesos E-11'!$C$14)^(1/12)-1),6),6)</f>
        <v>0</v>
      </c>
      <c r="G140" s="15">
        <f t="shared" si="26"/>
        <v>0</v>
      </c>
      <c r="H140" s="28">
        <f>IF($B140=0,0,G140/POWER(1+'CALCULADORA TIPS Pesos E-11'!$F$11,Flujos!$B140/365))</f>
        <v>0</v>
      </c>
      <c r="I140" s="30">
        <f t="shared" si="23"/>
        <v>44148</v>
      </c>
      <c r="J140" s="25">
        <v>138</v>
      </c>
      <c r="K140" s="12">
        <f t="shared" si="27"/>
        <v>4199</v>
      </c>
      <c r="L140" s="94">
        <f t="shared" si="28"/>
        <v>3.635883331298828E-06</v>
      </c>
      <c r="M140" s="91">
        <f t="shared" si="29"/>
        <v>0</v>
      </c>
      <c r="N140" s="91">
        <f t="shared" si="30"/>
        <v>3.037780523300171E-08</v>
      </c>
      <c r="O140" s="92">
        <f t="shared" si="31"/>
        <v>3.037780523300171E-08</v>
      </c>
    </row>
    <row r="141" spans="1:15" ht="12.75">
      <c r="A141" s="4">
        <f t="shared" si="22"/>
        <v>44178</v>
      </c>
      <c r="B141" s="9">
        <f>IF(DIAS365('CALCULADORA TIPS Pesos E-11'!$E$6,A141)&lt;0,0,DIAS365('CALCULADORA TIPS Pesos E-11'!$E$6,A141))</f>
        <v>2677</v>
      </c>
      <c r="C141" s="5">
        <f>+HLOOKUP('CALCULADORA TIPS Pesos E-11'!$E$4,Tablas!$B$1:$C$181,Flujos!J141+1,FALSE)</f>
        <v>0</v>
      </c>
      <c r="D141" s="14">
        <f t="shared" si="24"/>
        <v>0</v>
      </c>
      <c r="E141" s="15">
        <f t="shared" si="25"/>
        <v>0</v>
      </c>
      <c r="F141" s="15">
        <f>ROUND(D140*ROUND(((1+'CALCULADORA TIPS Pesos E-11'!$C$14)^(1/12)-1),6),6)</f>
        <v>0</v>
      </c>
      <c r="G141" s="15">
        <f t="shared" si="26"/>
        <v>0</v>
      </c>
      <c r="H141" s="28">
        <f>IF($B141=0,0,G141/POWER(1+'CALCULADORA TIPS Pesos E-11'!$F$11,Flujos!$B141/365))</f>
        <v>0</v>
      </c>
      <c r="I141" s="30">
        <f t="shared" si="23"/>
        <v>44178</v>
      </c>
      <c r="J141" s="25">
        <v>139</v>
      </c>
      <c r="K141" s="12">
        <f t="shared" si="27"/>
        <v>4229</v>
      </c>
      <c r="L141" s="94">
        <f t="shared" si="28"/>
        <v>3.635883331298828E-06</v>
      </c>
      <c r="M141" s="91">
        <f t="shared" si="29"/>
        <v>0</v>
      </c>
      <c r="N141" s="91">
        <f t="shared" si="30"/>
        <v>3.037780523300171E-08</v>
      </c>
      <c r="O141" s="92">
        <f t="shared" si="31"/>
        <v>3.037780523300171E-08</v>
      </c>
    </row>
    <row r="142" spans="1:15" ht="12.75">
      <c r="A142" s="4">
        <f t="shared" si="22"/>
        <v>44209</v>
      </c>
      <c r="B142" s="9">
        <f>IF(DIAS365('CALCULADORA TIPS Pesos E-11'!$E$6,A142)&lt;0,0,DIAS365('CALCULADORA TIPS Pesos E-11'!$E$6,A142))</f>
        <v>2708</v>
      </c>
      <c r="C142" s="5">
        <f>+HLOOKUP('CALCULADORA TIPS Pesos E-11'!$E$4,Tablas!$B$1:$C$181,Flujos!J142+1,FALSE)</f>
        <v>0</v>
      </c>
      <c r="D142" s="14">
        <f t="shared" si="24"/>
        <v>0</v>
      </c>
      <c r="E142" s="15">
        <f t="shared" si="25"/>
        <v>0</v>
      </c>
      <c r="F142" s="15">
        <f>ROUND(D141*ROUND(((1+'CALCULADORA TIPS Pesos E-11'!$C$14)^(1/12)-1),6),6)</f>
        <v>0</v>
      </c>
      <c r="G142" s="15">
        <f t="shared" si="26"/>
        <v>0</v>
      </c>
      <c r="H142" s="28">
        <f>IF($B142=0,0,G142/POWER(1+'CALCULADORA TIPS Pesos E-11'!$F$11,Flujos!$B142/365))</f>
        <v>0</v>
      </c>
      <c r="I142" s="30">
        <f t="shared" si="23"/>
        <v>44209</v>
      </c>
      <c r="J142" s="25">
        <v>140</v>
      </c>
      <c r="K142" s="12">
        <f t="shared" si="27"/>
        <v>4260</v>
      </c>
      <c r="L142" s="94">
        <f t="shared" si="28"/>
        <v>3.635883331298828E-06</v>
      </c>
      <c r="M142" s="91">
        <f t="shared" si="29"/>
        <v>0</v>
      </c>
      <c r="N142" s="91">
        <f t="shared" si="30"/>
        <v>3.037780523300171E-08</v>
      </c>
      <c r="O142" s="92">
        <f t="shared" si="31"/>
        <v>3.037780523300171E-08</v>
      </c>
    </row>
    <row r="143" spans="1:15" ht="12.75">
      <c r="A143" s="4">
        <f t="shared" si="22"/>
        <v>44240</v>
      </c>
      <c r="B143" s="9">
        <f>IF(DIAS365('CALCULADORA TIPS Pesos E-11'!$E$6,A143)&lt;0,0,DIAS365('CALCULADORA TIPS Pesos E-11'!$E$6,A143))</f>
        <v>2739</v>
      </c>
      <c r="C143" s="5">
        <f>+HLOOKUP('CALCULADORA TIPS Pesos E-11'!$E$4,Tablas!$B$1:$C$181,Flujos!J143+1,FALSE)</f>
        <v>0</v>
      </c>
      <c r="D143" s="14">
        <f t="shared" si="24"/>
        <v>0</v>
      </c>
      <c r="E143" s="15">
        <f t="shared" si="25"/>
        <v>0</v>
      </c>
      <c r="F143" s="15">
        <f>ROUND(D142*ROUND(((1+'CALCULADORA TIPS Pesos E-11'!$C$14)^(1/12)-1),6),6)</f>
        <v>0</v>
      </c>
      <c r="G143" s="15">
        <f t="shared" si="26"/>
        <v>0</v>
      </c>
      <c r="H143" s="28">
        <f>IF($B143=0,0,G143/POWER(1+'CALCULADORA TIPS Pesos E-11'!$F$11,Flujos!$B143/365))</f>
        <v>0</v>
      </c>
      <c r="I143" s="30">
        <f t="shared" si="23"/>
        <v>44240</v>
      </c>
      <c r="J143" s="25">
        <v>141</v>
      </c>
      <c r="K143" s="12">
        <f t="shared" si="27"/>
        <v>4291</v>
      </c>
      <c r="L143" s="94">
        <f t="shared" si="28"/>
        <v>3.635883331298828E-06</v>
      </c>
      <c r="M143" s="91">
        <f t="shared" si="29"/>
        <v>0</v>
      </c>
      <c r="N143" s="91">
        <f t="shared" si="30"/>
        <v>3.037780523300171E-08</v>
      </c>
      <c r="O143" s="92">
        <f t="shared" si="31"/>
        <v>3.037780523300171E-08</v>
      </c>
    </row>
    <row r="144" spans="1:15" ht="12.75">
      <c r="A144" s="4">
        <f t="shared" si="22"/>
        <v>44268</v>
      </c>
      <c r="B144" s="9">
        <f>IF(DIAS365('CALCULADORA TIPS Pesos E-11'!$E$6,A144)&lt;0,0,DIAS365('CALCULADORA TIPS Pesos E-11'!$E$6,A144))</f>
        <v>2767</v>
      </c>
      <c r="C144" s="5">
        <f>+HLOOKUP('CALCULADORA TIPS Pesos E-11'!$E$4,Tablas!$B$1:$C$181,Flujos!J144+1,FALSE)</f>
        <v>0</v>
      </c>
      <c r="D144" s="14">
        <f t="shared" si="24"/>
        <v>0</v>
      </c>
      <c r="E144" s="15">
        <f t="shared" si="25"/>
        <v>0</v>
      </c>
      <c r="F144" s="15">
        <f>ROUND(D143*ROUND(((1+'CALCULADORA TIPS Pesos E-11'!$C$14)^(1/12)-1),6),6)</f>
        <v>0</v>
      </c>
      <c r="G144" s="15">
        <f t="shared" si="26"/>
        <v>0</v>
      </c>
      <c r="H144" s="28">
        <f>IF($B144=0,0,G144/POWER(1+'CALCULADORA TIPS Pesos E-11'!$F$11,Flujos!$B144/365))</f>
        <v>0</v>
      </c>
      <c r="I144" s="30">
        <f t="shared" si="23"/>
        <v>44268</v>
      </c>
      <c r="J144" s="25">
        <v>142</v>
      </c>
      <c r="K144" s="12">
        <f t="shared" si="27"/>
        <v>4319</v>
      </c>
      <c r="L144" s="94">
        <f t="shared" si="28"/>
        <v>3.635883331298828E-06</v>
      </c>
      <c r="M144" s="91">
        <f t="shared" si="29"/>
        <v>0</v>
      </c>
      <c r="N144" s="91">
        <f t="shared" si="30"/>
        <v>3.037780523300171E-08</v>
      </c>
      <c r="O144" s="92">
        <f t="shared" si="31"/>
        <v>3.037780523300171E-08</v>
      </c>
    </row>
    <row r="145" spans="1:15" ht="12.75">
      <c r="A145" s="4">
        <f t="shared" si="22"/>
        <v>44299</v>
      </c>
      <c r="B145" s="9">
        <f>IF(DIAS365('CALCULADORA TIPS Pesos E-11'!$E$6,A145)&lt;0,0,DIAS365('CALCULADORA TIPS Pesos E-11'!$E$6,A145))</f>
        <v>2798</v>
      </c>
      <c r="C145" s="5">
        <f>+HLOOKUP('CALCULADORA TIPS Pesos E-11'!$E$4,Tablas!$B$1:$C$181,Flujos!J145+1,FALSE)</f>
        <v>0</v>
      </c>
      <c r="D145" s="14">
        <f t="shared" si="24"/>
        <v>0</v>
      </c>
      <c r="E145" s="15">
        <f t="shared" si="25"/>
        <v>0</v>
      </c>
      <c r="F145" s="15">
        <f>ROUND(D144*ROUND(((1+'CALCULADORA TIPS Pesos E-11'!$C$14)^(1/12)-1),6),6)</f>
        <v>0</v>
      </c>
      <c r="G145" s="15">
        <f t="shared" si="26"/>
        <v>0</v>
      </c>
      <c r="H145" s="28">
        <f>IF($B145=0,0,G145/POWER(1+'CALCULADORA TIPS Pesos E-11'!$F$11,Flujos!$B145/365))</f>
        <v>0</v>
      </c>
      <c r="I145" s="30">
        <f t="shared" si="23"/>
        <v>44299</v>
      </c>
      <c r="J145" s="25">
        <v>143</v>
      </c>
      <c r="K145" s="12">
        <f t="shared" si="27"/>
        <v>4350</v>
      </c>
      <c r="L145" s="94">
        <f t="shared" si="28"/>
        <v>3.635883331298828E-06</v>
      </c>
      <c r="M145" s="91">
        <f t="shared" si="29"/>
        <v>0</v>
      </c>
      <c r="N145" s="91">
        <f t="shared" si="30"/>
        <v>3.037780523300171E-08</v>
      </c>
      <c r="O145" s="92">
        <f t="shared" si="31"/>
        <v>3.037780523300171E-08</v>
      </c>
    </row>
    <row r="146" spans="1:15" ht="12.75">
      <c r="A146" s="4">
        <f t="shared" si="22"/>
        <v>44329</v>
      </c>
      <c r="B146" s="9">
        <f>IF(DIAS365('CALCULADORA TIPS Pesos E-11'!$E$6,A146)&lt;0,0,DIAS365('CALCULADORA TIPS Pesos E-11'!$E$6,A146))</f>
        <v>2828</v>
      </c>
      <c r="C146" s="5">
        <f>+HLOOKUP('CALCULADORA TIPS Pesos E-11'!$E$4,Tablas!$B$1:$C$181,Flujos!J146+1,FALSE)</f>
        <v>0</v>
      </c>
      <c r="D146" s="14">
        <f t="shared" si="24"/>
        <v>0</v>
      </c>
      <c r="E146" s="15">
        <f t="shared" si="25"/>
        <v>0</v>
      </c>
      <c r="F146" s="15">
        <f>ROUND(D145*ROUND(((1+'CALCULADORA TIPS Pesos E-11'!$C$14)^(1/12)-1),6),6)</f>
        <v>0</v>
      </c>
      <c r="G146" s="15">
        <f t="shared" si="26"/>
        <v>0</v>
      </c>
      <c r="H146" s="28">
        <f>IF($B146=0,0,G146/POWER(1+'CALCULADORA TIPS Pesos E-11'!$F$11,Flujos!$B146/365))</f>
        <v>0</v>
      </c>
      <c r="I146" s="30">
        <f t="shared" si="23"/>
        <v>44329</v>
      </c>
      <c r="J146" s="25">
        <v>144</v>
      </c>
      <c r="K146" s="12">
        <f t="shared" si="27"/>
        <v>4380</v>
      </c>
      <c r="L146" s="94">
        <f t="shared" si="28"/>
        <v>3.635883331298828E-06</v>
      </c>
      <c r="M146" s="91">
        <f t="shared" si="29"/>
        <v>0</v>
      </c>
      <c r="N146" s="91">
        <f t="shared" si="30"/>
        <v>3.037780523300171E-08</v>
      </c>
      <c r="O146" s="92">
        <f t="shared" si="31"/>
        <v>3.037780523300171E-08</v>
      </c>
    </row>
    <row r="147" spans="1:15" ht="12.75">
      <c r="A147" s="4">
        <f t="shared" si="22"/>
        <v>44360</v>
      </c>
      <c r="B147" s="9">
        <f>IF(DIAS365('CALCULADORA TIPS Pesos E-11'!$E$6,A147)&lt;0,0,DIAS365('CALCULADORA TIPS Pesos E-11'!$E$6,A147))</f>
        <v>2859</v>
      </c>
      <c r="C147" s="5">
        <f>+HLOOKUP('CALCULADORA TIPS Pesos E-11'!$E$4,Tablas!$B$1:$C$181,Flujos!J147+1,FALSE)</f>
        <v>0</v>
      </c>
      <c r="D147" s="14">
        <f t="shared" si="24"/>
        <v>0</v>
      </c>
      <c r="E147" s="15">
        <f t="shared" si="25"/>
        <v>0</v>
      </c>
      <c r="F147" s="15">
        <f>ROUND(D146*ROUND(((1+'CALCULADORA TIPS Pesos E-11'!$C$14)^(1/12)-1),6),6)</f>
        <v>0</v>
      </c>
      <c r="G147" s="15">
        <f t="shared" si="26"/>
        <v>0</v>
      </c>
      <c r="H147" s="28">
        <f>IF($B147=0,0,G147/POWER(1+'CALCULADORA TIPS Pesos E-11'!$F$11,Flujos!$B147/365))</f>
        <v>0</v>
      </c>
      <c r="I147" s="30">
        <f t="shared" si="23"/>
        <v>44360</v>
      </c>
      <c r="J147" s="25">
        <v>145</v>
      </c>
      <c r="K147" s="12">
        <f t="shared" si="27"/>
        <v>4411</v>
      </c>
      <c r="L147" s="94">
        <f t="shared" si="28"/>
        <v>3.635883331298828E-06</v>
      </c>
      <c r="M147" s="91">
        <f t="shared" si="29"/>
        <v>0</v>
      </c>
      <c r="N147" s="91">
        <f t="shared" si="30"/>
        <v>3.037780523300171E-08</v>
      </c>
      <c r="O147" s="92">
        <f t="shared" si="31"/>
        <v>3.037780523300171E-08</v>
      </c>
    </row>
    <row r="148" spans="1:15" ht="12.75">
      <c r="A148" s="4">
        <f t="shared" si="22"/>
        <v>44390</v>
      </c>
      <c r="B148" s="9">
        <f>IF(DIAS365('CALCULADORA TIPS Pesos E-11'!$E$6,A148)&lt;0,0,DIAS365('CALCULADORA TIPS Pesos E-11'!$E$6,A148))</f>
        <v>2889</v>
      </c>
      <c r="C148" s="5">
        <f>+HLOOKUP('CALCULADORA TIPS Pesos E-11'!$E$4,Tablas!$B$1:$C$181,Flujos!J148+1,FALSE)</f>
        <v>0</v>
      </c>
      <c r="D148" s="14">
        <f t="shared" si="24"/>
        <v>0</v>
      </c>
      <c r="E148" s="15">
        <f t="shared" si="25"/>
        <v>0</v>
      </c>
      <c r="F148" s="15">
        <f>ROUND(D147*ROUND(((1+'CALCULADORA TIPS Pesos E-11'!$C$14)^(1/12)-1),6),6)</f>
        <v>0</v>
      </c>
      <c r="G148" s="15">
        <f t="shared" si="26"/>
        <v>0</v>
      </c>
      <c r="H148" s="28">
        <f>IF($B148=0,0,G148/POWER(1+'CALCULADORA TIPS Pesos E-11'!$F$11,Flujos!$B148/365))</f>
        <v>0</v>
      </c>
      <c r="I148" s="30">
        <f t="shared" si="23"/>
        <v>44390</v>
      </c>
      <c r="J148" s="25">
        <v>146</v>
      </c>
      <c r="K148" s="12">
        <f t="shared" si="27"/>
        <v>4441</v>
      </c>
      <c r="L148" s="94">
        <f t="shared" si="28"/>
        <v>3.635883331298828E-06</v>
      </c>
      <c r="M148" s="91">
        <f t="shared" si="29"/>
        <v>0</v>
      </c>
      <c r="N148" s="91">
        <f t="shared" si="30"/>
        <v>3.037780523300171E-08</v>
      </c>
      <c r="O148" s="92">
        <f t="shared" si="31"/>
        <v>3.037780523300171E-08</v>
      </c>
    </row>
    <row r="149" spans="1:15" ht="12.75">
      <c r="A149" s="4">
        <f t="shared" si="22"/>
        <v>44421</v>
      </c>
      <c r="B149" s="9">
        <f>IF(DIAS365('CALCULADORA TIPS Pesos E-11'!$E$6,A149)&lt;0,0,DIAS365('CALCULADORA TIPS Pesos E-11'!$E$6,A149))</f>
        <v>2920</v>
      </c>
      <c r="C149" s="5">
        <f>+HLOOKUP('CALCULADORA TIPS Pesos E-11'!$E$4,Tablas!$B$1:$C$181,Flujos!J149+1,FALSE)</f>
        <v>0</v>
      </c>
      <c r="D149" s="14">
        <f t="shared" si="24"/>
        <v>0</v>
      </c>
      <c r="E149" s="15">
        <f t="shared" si="25"/>
        <v>0</v>
      </c>
      <c r="F149" s="15">
        <f>ROUND(D148*ROUND(((1+'CALCULADORA TIPS Pesos E-11'!$C$14)^(1/12)-1),6),6)</f>
        <v>0</v>
      </c>
      <c r="G149" s="15">
        <f t="shared" si="26"/>
        <v>0</v>
      </c>
      <c r="H149" s="28">
        <f>IF($B149=0,0,G149/POWER(1+'CALCULADORA TIPS Pesos E-11'!$F$11,Flujos!$B149/365))</f>
        <v>0</v>
      </c>
      <c r="I149" s="30">
        <f t="shared" si="23"/>
        <v>44421</v>
      </c>
      <c r="J149" s="25">
        <v>147</v>
      </c>
      <c r="K149" s="12">
        <f t="shared" si="27"/>
        <v>4472</v>
      </c>
      <c r="L149" s="94">
        <f t="shared" si="28"/>
        <v>3.635883331298828E-06</v>
      </c>
      <c r="M149" s="91">
        <f t="shared" si="29"/>
        <v>0</v>
      </c>
      <c r="N149" s="91">
        <f t="shared" si="30"/>
        <v>3.037780523300171E-08</v>
      </c>
      <c r="O149" s="92">
        <f t="shared" si="31"/>
        <v>3.037780523300171E-08</v>
      </c>
    </row>
    <row r="150" spans="1:15" ht="12.75">
      <c r="A150" s="4">
        <f t="shared" si="22"/>
        <v>44452</v>
      </c>
      <c r="B150" s="9">
        <f>IF(DIAS365('CALCULADORA TIPS Pesos E-11'!$E$6,A150)&lt;0,0,DIAS365('CALCULADORA TIPS Pesos E-11'!$E$6,A150))</f>
        <v>2951</v>
      </c>
      <c r="C150" s="5">
        <f>+HLOOKUP('CALCULADORA TIPS Pesos E-11'!$E$4,Tablas!$B$1:$C$181,Flujos!J150+1,FALSE)</f>
        <v>0</v>
      </c>
      <c r="D150" s="14">
        <f t="shared" si="24"/>
        <v>0</v>
      </c>
      <c r="E150" s="15">
        <f t="shared" si="25"/>
        <v>0</v>
      </c>
      <c r="F150" s="15">
        <f>ROUND(D149*ROUND(((1+'CALCULADORA TIPS Pesos E-11'!$C$14)^(1/12)-1),6),6)</f>
        <v>0</v>
      </c>
      <c r="G150" s="15">
        <f t="shared" si="26"/>
        <v>0</v>
      </c>
      <c r="H150" s="28">
        <f>IF($B150=0,0,G150/POWER(1+'CALCULADORA TIPS Pesos E-11'!$F$11,Flujos!$B150/365))</f>
        <v>0</v>
      </c>
      <c r="I150" s="30">
        <f t="shared" si="23"/>
        <v>44452</v>
      </c>
      <c r="J150" s="25">
        <v>148</v>
      </c>
      <c r="K150" s="12">
        <f t="shared" si="27"/>
        <v>4503</v>
      </c>
      <c r="L150" s="94">
        <f t="shared" si="28"/>
        <v>3.635883331298828E-06</v>
      </c>
      <c r="M150" s="91">
        <f t="shared" si="29"/>
        <v>0</v>
      </c>
      <c r="N150" s="91">
        <f t="shared" si="30"/>
        <v>3.037780523300171E-08</v>
      </c>
      <c r="O150" s="92">
        <f t="shared" si="31"/>
        <v>3.037780523300171E-08</v>
      </c>
    </row>
    <row r="151" spans="1:15" ht="12.75">
      <c r="A151" s="4">
        <f t="shared" si="22"/>
        <v>44482</v>
      </c>
      <c r="B151" s="9">
        <f>IF(DIAS365('CALCULADORA TIPS Pesos E-11'!$E$6,A151)&lt;0,0,DIAS365('CALCULADORA TIPS Pesos E-11'!$E$6,A151))</f>
        <v>2981</v>
      </c>
      <c r="C151" s="5">
        <f>+HLOOKUP('CALCULADORA TIPS Pesos E-11'!$E$4,Tablas!$B$1:$C$181,Flujos!J151+1,FALSE)</f>
        <v>0</v>
      </c>
      <c r="D151" s="14">
        <f t="shared" si="24"/>
        <v>0</v>
      </c>
      <c r="E151" s="15">
        <f t="shared" si="25"/>
        <v>0</v>
      </c>
      <c r="F151" s="15">
        <f>ROUND(D150*ROUND(((1+'CALCULADORA TIPS Pesos E-11'!$C$14)^(1/12)-1),6),6)</f>
        <v>0</v>
      </c>
      <c r="G151" s="15">
        <f t="shared" si="26"/>
        <v>0</v>
      </c>
      <c r="H151" s="28">
        <f>IF($B151=0,0,G151/POWER(1+'CALCULADORA TIPS Pesos E-11'!$F$11,Flujos!$B151/365))</f>
        <v>0</v>
      </c>
      <c r="I151" s="30">
        <f t="shared" si="23"/>
        <v>44482</v>
      </c>
      <c r="J151" s="25">
        <v>149</v>
      </c>
      <c r="K151" s="12">
        <f t="shared" si="27"/>
        <v>4533</v>
      </c>
      <c r="L151" s="94">
        <f t="shared" si="28"/>
        <v>3.635883331298828E-06</v>
      </c>
      <c r="M151" s="91">
        <f t="shared" si="29"/>
        <v>0</v>
      </c>
      <c r="N151" s="91">
        <f t="shared" si="30"/>
        <v>3.037780523300171E-08</v>
      </c>
      <c r="O151" s="92">
        <f t="shared" si="31"/>
        <v>3.037780523300171E-08</v>
      </c>
    </row>
    <row r="152" spans="1:15" ht="12.75">
      <c r="A152" s="4">
        <f t="shared" si="22"/>
        <v>44513</v>
      </c>
      <c r="B152" s="9">
        <f>IF(DIAS365('CALCULADORA TIPS Pesos E-11'!$E$6,A152)&lt;0,0,DIAS365('CALCULADORA TIPS Pesos E-11'!$E$6,A152))</f>
        <v>3012</v>
      </c>
      <c r="C152" s="5">
        <f>+HLOOKUP('CALCULADORA TIPS Pesos E-11'!$E$4,Tablas!$B$1:$C$181,Flujos!J152+1,FALSE)</f>
        <v>0</v>
      </c>
      <c r="D152" s="14">
        <f t="shared" si="24"/>
        <v>0</v>
      </c>
      <c r="E152" s="15">
        <f t="shared" si="25"/>
        <v>0</v>
      </c>
      <c r="F152" s="15">
        <f>ROUND(D151*ROUND(((1+'CALCULADORA TIPS Pesos E-11'!$C$14)^(1/12)-1),6),6)</f>
        <v>0</v>
      </c>
      <c r="G152" s="15">
        <f t="shared" si="26"/>
        <v>0</v>
      </c>
      <c r="H152" s="28">
        <f>IF($B152=0,0,G152/POWER(1+'CALCULADORA TIPS Pesos E-11'!$F$11,Flujos!$B152/365))</f>
        <v>0</v>
      </c>
      <c r="I152" s="30">
        <f t="shared" si="23"/>
        <v>44513</v>
      </c>
      <c r="J152" s="25">
        <v>150</v>
      </c>
      <c r="K152" s="12">
        <f t="shared" si="27"/>
        <v>4564</v>
      </c>
      <c r="L152" s="94">
        <f t="shared" si="28"/>
        <v>3.635883331298828E-06</v>
      </c>
      <c r="M152" s="91">
        <f t="shared" si="29"/>
        <v>0</v>
      </c>
      <c r="N152" s="91">
        <f t="shared" si="30"/>
        <v>3.037780523300171E-08</v>
      </c>
      <c r="O152" s="92">
        <f t="shared" si="31"/>
        <v>3.037780523300171E-08</v>
      </c>
    </row>
    <row r="153" spans="1:15" ht="12.75">
      <c r="A153" s="4">
        <f t="shared" si="22"/>
        <v>44543</v>
      </c>
      <c r="B153" s="9">
        <f>IF(DIAS365('CALCULADORA TIPS Pesos E-11'!$E$6,A153)&lt;0,0,DIAS365('CALCULADORA TIPS Pesos E-11'!$E$6,A153))</f>
        <v>3042</v>
      </c>
      <c r="C153" s="5">
        <f>+HLOOKUP('CALCULADORA TIPS Pesos E-11'!$E$4,Tablas!$B$1:$C$181,Flujos!J153+1,FALSE)</f>
        <v>0</v>
      </c>
      <c r="D153" s="14">
        <f t="shared" si="24"/>
        <v>0</v>
      </c>
      <c r="E153" s="15">
        <f t="shared" si="25"/>
        <v>0</v>
      </c>
      <c r="F153" s="15">
        <f>ROUND(D152*ROUND(((1+'CALCULADORA TIPS Pesos E-11'!$C$14)^(1/12)-1),6),6)</f>
        <v>0</v>
      </c>
      <c r="G153" s="15">
        <f t="shared" si="26"/>
        <v>0</v>
      </c>
      <c r="H153" s="28">
        <f>IF($B153=0,0,G153/POWER(1+'CALCULADORA TIPS Pesos E-11'!$F$11,Flujos!$B153/365))</f>
        <v>0</v>
      </c>
      <c r="I153" s="30">
        <f t="shared" si="23"/>
        <v>44543</v>
      </c>
      <c r="J153" s="25">
        <v>151</v>
      </c>
      <c r="K153" s="12">
        <f t="shared" si="27"/>
        <v>4594</v>
      </c>
      <c r="L153" s="94">
        <f t="shared" si="28"/>
        <v>3.635883331298828E-06</v>
      </c>
      <c r="M153" s="91">
        <f t="shared" si="29"/>
        <v>0</v>
      </c>
      <c r="N153" s="91">
        <f t="shared" si="30"/>
        <v>3.037780523300171E-08</v>
      </c>
      <c r="O153" s="92">
        <f t="shared" si="31"/>
        <v>3.037780523300171E-08</v>
      </c>
    </row>
    <row r="154" spans="1:15" ht="12.75">
      <c r="A154" s="4">
        <f t="shared" si="22"/>
        <v>44574</v>
      </c>
      <c r="B154" s="9">
        <f>IF(DIAS365('CALCULADORA TIPS Pesos E-11'!$E$6,A154)&lt;0,0,DIAS365('CALCULADORA TIPS Pesos E-11'!$E$6,A154))</f>
        <v>3073</v>
      </c>
      <c r="C154" s="5">
        <f>+HLOOKUP('CALCULADORA TIPS Pesos E-11'!$E$4,Tablas!$B$1:$C$181,Flujos!J154+1,FALSE)</f>
        <v>0</v>
      </c>
      <c r="D154" s="14">
        <f t="shared" si="24"/>
        <v>0</v>
      </c>
      <c r="E154" s="15">
        <f t="shared" si="25"/>
        <v>0</v>
      </c>
      <c r="F154" s="15">
        <f>ROUND(D153*ROUND(((1+'CALCULADORA TIPS Pesos E-11'!$C$14)^(1/12)-1),6),6)</f>
        <v>0</v>
      </c>
      <c r="G154" s="15">
        <f t="shared" si="26"/>
        <v>0</v>
      </c>
      <c r="H154" s="28">
        <f>IF($B154=0,0,G154/POWER(1+'CALCULADORA TIPS Pesos E-11'!$F$11,Flujos!$B154/365))</f>
        <v>0</v>
      </c>
      <c r="I154" s="30">
        <f t="shared" si="23"/>
        <v>44574</v>
      </c>
      <c r="J154" s="25">
        <v>152</v>
      </c>
      <c r="K154" s="12">
        <f t="shared" si="27"/>
        <v>4625</v>
      </c>
      <c r="L154" s="94">
        <f t="shared" si="28"/>
        <v>3.635883331298828E-06</v>
      </c>
      <c r="M154" s="91">
        <f t="shared" si="29"/>
        <v>0</v>
      </c>
      <c r="N154" s="91">
        <f t="shared" si="30"/>
        <v>3.037780523300171E-08</v>
      </c>
      <c r="O154" s="92">
        <f t="shared" si="31"/>
        <v>3.037780523300171E-08</v>
      </c>
    </row>
    <row r="155" spans="1:15" ht="12.75">
      <c r="A155" s="4">
        <f t="shared" si="22"/>
        <v>44605</v>
      </c>
      <c r="B155" s="9">
        <f>IF(DIAS365('CALCULADORA TIPS Pesos E-11'!$E$6,A155)&lt;0,0,DIAS365('CALCULADORA TIPS Pesos E-11'!$E$6,A155))</f>
        <v>3104</v>
      </c>
      <c r="C155" s="5">
        <f>+HLOOKUP('CALCULADORA TIPS Pesos E-11'!$E$4,Tablas!$B$1:$C$181,Flujos!J155+1,FALSE)</f>
        <v>0</v>
      </c>
      <c r="D155" s="14">
        <f t="shared" si="24"/>
        <v>0</v>
      </c>
      <c r="E155" s="15">
        <f t="shared" si="25"/>
        <v>0</v>
      </c>
      <c r="F155" s="15">
        <f>ROUND(D154*ROUND(((1+'CALCULADORA TIPS Pesos E-11'!$C$14)^(1/12)-1),6),6)</f>
        <v>0</v>
      </c>
      <c r="G155" s="15">
        <f t="shared" si="26"/>
        <v>0</v>
      </c>
      <c r="H155" s="28">
        <f>IF($B155=0,0,G155/POWER(1+'CALCULADORA TIPS Pesos E-11'!$F$11,Flujos!$B155/365))</f>
        <v>0</v>
      </c>
      <c r="I155" s="30">
        <f t="shared" si="23"/>
        <v>44605</v>
      </c>
      <c r="J155" s="25">
        <v>153</v>
      </c>
      <c r="K155" s="12">
        <f t="shared" si="27"/>
        <v>4656</v>
      </c>
      <c r="L155" s="94">
        <f t="shared" si="28"/>
        <v>3.635883331298828E-06</v>
      </c>
      <c r="M155" s="91">
        <f t="shared" si="29"/>
        <v>0</v>
      </c>
      <c r="N155" s="91">
        <f t="shared" si="30"/>
        <v>3.037780523300171E-08</v>
      </c>
      <c r="O155" s="92">
        <f t="shared" si="31"/>
        <v>3.037780523300171E-08</v>
      </c>
    </row>
    <row r="156" spans="1:15" ht="12.75">
      <c r="A156" s="4">
        <f t="shared" si="22"/>
        <v>44633</v>
      </c>
      <c r="B156" s="9">
        <f>IF(DIAS365('CALCULADORA TIPS Pesos E-11'!$E$6,A156)&lt;0,0,DIAS365('CALCULADORA TIPS Pesos E-11'!$E$6,A156))</f>
        <v>3132</v>
      </c>
      <c r="C156" s="5">
        <f>+HLOOKUP('CALCULADORA TIPS Pesos E-11'!$E$4,Tablas!$B$1:$C$181,Flujos!J156+1,FALSE)</f>
        <v>0</v>
      </c>
      <c r="D156" s="14">
        <f t="shared" si="24"/>
        <v>0</v>
      </c>
      <c r="E156" s="15">
        <f t="shared" si="25"/>
        <v>0</v>
      </c>
      <c r="F156" s="15">
        <f>ROUND(D155*ROUND(((1+'CALCULADORA TIPS Pesos E-11'!$C$14)^(1/12)-1),6),6)</f>
        <v>0</v>
      </c>
      <c r="G156" s="15">
        <f t="shared" si="26"/>
        <v>0</v>
      </c>
      <c r="H156" s="28">
        <f>IF($B156=0,0,G156/POWER(1+'CALCULADORA TIPS Pesos E-11'!$F$11,Flujos!$B156/365))</f>
        <v>0</v>
      </c>
      <c r="I156" s="30">
        <f t="shared" si="23"/>
        <v>44633</v>
      </c>
      <c r="J156" s="25">
        <v>154</v>
      </c>
      <c r="K156" s="12">
        <f t="shared" si="27"/>
        <v>4684</v>
      </c>
      <c r="L156" s="94">
        <f t="shared" si="28"/>
        <v>3.635883331298828E-06</v>
      </c>
      <c r="M156" s="91">
        <f t="shared" si="29"/>
        <v>0</v>
      </c>
      <c r="N156" s="91">
        <f t="shared" si="30"/>
        <v>3.037780523300171E-08</v>
      </c>
      <c r="O156" s="92">
        <f t="shared" si="31"/>
        <v>3.037780523300171E-08</v>
      </c>
    </row>
    <row r="157" spans="1:15" ht="12.75">
      <c r="A157" s="4">
        <f t="shared" si="22"/>
        <v>44664</v>
      </c>
      <c r="B157" s="9">
        <f>IF(DIAS365('CALCULADORA TIPS Pesos E-11'!$E$6,A157)&lt;0,0,DIAS365('CALCULADORA TIPS Pesos E-11'!$E$6,A157))</f>
        <v>3163</v>
      </c>
      <c r="C157" s="5">
        <f>+HLOOKUP('CALCULADORA TIPS Pesos E-11'!$E$4,Tablas!$B$1:$C$181,Flujos!J157+1,FALSE)</f>
        <v>0</v>
      </c>
      <c r="D157" s="14">
        <f t="shared" si="24"/>
        <v>0</v>
      </c>
      <c r="E157" s="15">
        <f t="shared" si="25"/>
        <v>0</v>
      </c>
      <c r="F157" s="15">
        <f>ROUND(D156*ROUND(((1+'CALCULADORA TIPS Pesos E-11'!$C$14)^(1/12)-1),6),6)</f>
        <v>0</v>
      </c>
      <c r="G157" s="15">
        <f t="shared" si="26"/>
        <v>0</v>
      </c>
      <c r="H157" s="28">
        <f>IF($B157=0,0,G157/POWER(1+'CALCULADORA TIPS Pesos E-11'!$F$11,Flujos!$B157/365))</f>
        <v>0</v>
      </c>
      <c r="I157" s="30">
        <f t="shared" si="23"/>
        <v>44664</v>
      </c>
      <c r="J157" s="25">
        <v>155</v>
      </c>
      <c r="K157" s="12">
        <f t="shared" si="27"/>
        <v>4715</v>
      </c>
      <c r="L157" s="94">
        <f t="shared" si="28"/>
        <v>3.635883331298828E-06</v>
      </c>
      <c r="M157" s="91">
        <f t="shared" si="29"/>
        <v>0</v>
      </c>
      <c r="N157" s="91">
        <f t="shared" si="30"/>
        <v>3.037780523300171E-08</v>
      </c>
      <c r="O157" s="92">
        <f t="shared" si="31"/>
        <v>3.037780523300171E-08</v>
      </c>
    </row>
    <row r="158" spans="1:15" ht="12.75">
      <c r="A158" s="4">
        <f t="shared" si="22"/>
        <v>44694</v>
      </c>
      <c r="B158" s="9">
        <f>IF(DIAS365('CALCULADORA TIPS Pesos E-11'!$E$6,A158)&lt;0,0,DIAS365('CALCULADORA TIPS Pesos E-11'!$E$6,A158))</f>
        <v>3193</v>
      </c>
      <c r="C158" s="5">
        <f>+HLOOKUP('CALCULADORA TIPS Pesos E-11'!$E$4,Tablas!$B$1:$C$181,Flujos!J158+1,FALSE)</f>
        <v>0</v>
      </c>
      <c r="D158" s="14">
        <f t="shared" si="24"/>
        <v>0</v>
      </c>
      <c r="E158" s="15">
        <f t="shared" si="25"/>
        <v>0</v>
      </c>
      <c r="F158" s="15">
        <f>ROUND(D157*ROUND(((1+'CALCULADORA TIPS Pesos E-11'!$C$14)^(1/12)-1),6),6)</f>
        <v>0</v>
      </c>
      <c r="G158" s="15">
        <f t="shared" si="26"/>
        <v>0</v>
      </c>
      <c r="H158" s="28">
        <f>IF($B158=0,0,G158/POWER(1+'CALCULADORA TIPS Pesos E-11'!$F$11,Flujos!$B158/365))</f>
        <v>0</v>
      </c>
      <c r="I158" s="30">
        <f t="shared" si="23"/>
        <v>44694</v>
      </c>
      <c r="J158" s="25">
        <v>156</v>
      </c>
      <c r="K158" s="12">
        <f t="shared" si="27"/>
        <v>4745</v>
      </c>
      <c r="L158" s="94">
        <f t="shared" si="28"/>
        <v>3.635883331298828E-06</v>
      </c>
      <c r="M158" s="91">
        <f t="shared" si="29"/>
        <v>0</v>
      </c>
      <c r="N158" s="91">
        <f t="shared" si="30"/>
        <v>3.037780523300171E-08</v>
      </c>
      <c r="O158" s="92">
        <f t="shared" si="31"/>
        <v>3.037780523300171E-08</v>
      </c>
    </row>
    <row r="159" spans="1:15" ht="12.75">
      <c r="A159" s="4">
        <f t="shared" si="22"/>
        <v>44725</v>
      </c>
      <c r="B159" s="9">
        <f>IF(DIAS365('CALCULADORA TIPS Pesos E-11'!$E$6,A159)&lt;0,0,DIAS365('CALCULADORA TIPS Pesos E-11'!$E$6,A159))</f>
        <v>3224</v>
      </c>
      <c r="C159" s="5">
        <f>+HLOOKUP('CALCULADORA TIPS Pesos E-11'!$E$4,Tablas!$B$1:$C$181,Flujos!J159+1,FALSE)</f>
        <v>0</v>
      </c>
      <c r="D159" s="14">
        <f t="shared" si="24"/>
        <v>0</v>
      </c>
      <c r="E159" s="15">
        <f t="shared" si="25"/>
        <v>0</v>
      </c>
      <c r="F159" s="15">
        <f>ROUND(D158*ROUND(((1+'CALCULADORA TIPS Pesos E-11'!$C$14)^(1/12)-1),6),6)</f>
        <v>0</v>
      </c>
      <c r="G159" s="15">
        <f t="shared" si="26"/>
        <v>0</v>
      </c>
      <c r="H159" s="28">
        <f>IF($B159=0,0,G159/POWER(1+'CALCULADORA TIPS Pesos E-11'!$F$11,Flujos!$B159/365))</f>
        <v>0</v>
      </c>
      <c r="I159" s="30">
        <f t="shared" si="23"/>
        <v>44725</v>
      </c>
      <c r="J159" s="25">
        <v>157</v>
      </c>
      <c r="K159" s="12">
        <f t="shared" si="27"/>
        <v>4776</v>
      </c>
      <c r="L159" s="94">
        <f t="shared" si="28"/>
        <v>3.635883331298828E-06</v>
      </c>
      <c r="M159" s="91">
        <f t="shared" si="29"/>
        <v>0</v>
      </c>
      <c r="N159" s="91">
        <f t="shared" si="30"/>
        <v>3.037780523300171E-08</v>
      </c>
      <c r="O159" s="92">
        <f t="shared" si="31"/>
        <v>3.037780523300171E-08</v>
      </c>
    </row>
    <row r="160" spans="1:15" ht="12.75">
      <c r="A160" s="4">
        <f t="shared" si="22"/>
        <v>44755</v>
      </c>
      <c r="B160" s="9">
        <f>IF(DIAS365('CALCULADORA TIPS Pesos E-11'!$E$6,A160)&lt;0,0,DIAS365('CALCULADORA TIPS Pesos E-11'!$E$6,A160))</f>
        <v>3254</v>
      </c>
      <c r="C160" s="5">
        <f>+HLOOKUP('CALCULADORA TIPS Pesos E-11'!$E$4,Tablas!$B$1:$C$181,Flujos!J160+1,FALSE)</f>
        <v>0</v>
      </c>
      <c r="D160" s="14">
        <f t="shared" si="24"/>
        <v>0</v>
      </c>
      <c r="E160" s="15">
        <f t="shared" si="25"/>
        <v>0</v>
      </c>
      <c r="F160" s="15">
        <f>ROUND(D159*ROUND(((1+'CALCULADORA TIPS Pesos E-11'!$C$14)^(1/12)-1),6),6)</f>
        <v>0</v>
      </c>
      <c r="G160" s="15">
        <f t="shared" si="26"/>
        <v>0</v>
      </c>
      <c r="H160" s="28">
        <f>IF($B160=0,0,G160/POWER(1+'CALCULADORA TIPS Pesos E-11'!$F$11,Flujos!$B160/365))</f>
        <v>0</v>
      </c>
      <c r="I160" s="30">
        <f t="shared" si="23"/>
        <v>44755</v>
      </c>
      <c r="J160" s="25">
        <v>158</v>
      </c>
      <c r="K160" s="12">
        <f t="shared" si="27"/>
        <v>4806</v>
      </c>
      <c r="L160" s="94">
        <f t="shared" si="28"/>
        <v>3.635883331298828E-06</v>
      </c>
      <c r="M160" s="91">
        <f t="shared" si="29"/>
        <v>0</v>
      </c>
      <c r="N160" s="91">
        <f t="shared" si="30"/>
        <v>3.037780523300171E-08</v>
      </c>
      <c r="O160" s="92">
        <f t="shared" si="31"/>
        <v>3.037780523300171E-08</v>
      </c>
    </row>
    <row r="161" spans="1:15" ht="12.75">
      <c r="A161" s="4">
        <f t="shared" si="22"/>
        <v>44786</v>
      </c>
      <c r="B161" s="9">
        <f>IF(DIAS365('CALCULADORA TIPS Pesos E-11'!$E$6,A161)&lt;0,0,DIAS365('CALCULADORA TIPS Pesos E-11'!$E$6,A161))</f>
        <v>3285</v>
      </c>
      <c r="C161" s="5">
        <f>+HLOOKUP('CALCULADORA TIPS Pesos E-11'!$E$4,Tablas!$B$1:$C$181,Flujos!J161+1,FALSE)</f>
        <v>0</v>
      </c>
      <c r="D161" s="14">
        <f t="shared" si="24"/>
        <v>0</v>
      </c>
      <c r="E161" s="15">
        <f t="shared" si="25"/>
        <v>0</v>
      </c>
      <c r="F161" s="15">
        <f>ROUND(D160*ROUND(((1+'CALCULADORA TIPS Pesos E-11'!$C$14)^(1/12)-1),6),6)</f>
        <v>0</v>
      </c>
      <c r="G161" s="15">
        <f t="shared" si="26"/>
        <v>0</v>
      </c>
      <c r="H161" s="28">
        <f>IF($B161=0,0,G161/POWER(1+'CALCULADORA TIPS Pesos E-11'!$F$11,Flujos!$B161/365))</f>
        <v>0</v>
      </c>
      <c r="I161" s="30">
        <f t="shared" si="23"/>
        <v>44786</v>
      </c>
      <c r="J161" s="25">
        <v>159</v>
      </c>
      <c r="K161" s="12">
        <f t="shared" si="27"/>
        <v>4837</v>
      </c>
      <c r="L161" s="94">
        <f t="shared" si="28"/>
        <v>3.635883331298828E-06</v>
      </c>
      <c r="M161" s="91">
        <f t="shared" si="29"/>
        <v>0</v>
      </c>
      <c r="N161" s="91">
        <f t="shared" si="30"/>
        <v>3.037780523300171E-08</v>
      </c>
      <c r="O161" s="92">
        <f t="shared" si="31"/>
        <v>3.037780523300171E-08</v>
      </c>
    </row>
    <row r="162" spans="1:15" ht="12.75">
      <c r="A162" s="4">
        <f t="shared" si="22"/>
        <v>44817</v>
      </c>
      <c r="B162" s="9">
        <f>IF(DIAS365('CALCULADORA TIPS Pesos E-11'!$E$6,A162)&lt;0,0,DIAS365('CALCULADORA TIPS Pesos E-11'!$E$6,A162))</f>
        <v>3316</v>
      </c>
      <c r="C162" s="5">
        <f>+HLOOKUP('CALCULADORA TIPS Pesos E-11'!$E$4,Tablas!$B$1:$C$181,Flujos!J162+1,FALSE)</f>
        <v>0</v>
      </c>
      <c r="D162" s="14">
        <f t="shared" si="24"/>
        <v>0</v>
      </c>
      <c r="E162" s="15">
        <f t="shared" si="25"/>
        <v>0</v>
      </c>
      <c r="F162" s="15">
        <f>ROUND(D161*ROUND(((1+'CALCULADORA TIPS Pesos E-11'!$C$14)^(1/12)-1),6),6)</f>
        <v>0</v>
      </c>
      <c r="G162" s="15">
        <f t="shared" si="26"/>
        <v>0</v>
      </c>
      <c r="H162" s="28">
        <f>IF($B162=0,0,G162/POWER(1+'CALCULADORA TIPS Pesos E-11'!$F$11,Flujos!$B162/365))</f>
        <v>0</v>
      </c>
      <c r="I162" s="30">
        <f t="shared" si="23"/>
        <v>44817</v>
      </c>
      <c r="J162" s="25">
        <v>160</v>
      </c>
      <c r="K162" s="12">
        <f t="shared" si="27"/>
        <v>4868</v>
      </c>
      <c r="L162" s="94">
        <f t="shared" si="28"/>
        <v>3.635883331298828E-06</v>
      </c>
      <c r="M162" s="91">
        <f t="shared" si="29"/>
        <v>0</v>
      </c>
      <c r="N162" s="91">
        <f t="shared" si="30"/>
        <v>3.037780523300171E-08</v>
      </c>
      <c r="O162" s="92">
        <f t="shared" si="31"/>
        <v>3.037780523300171E-08</v>
      </c>
    </row>
    <row r="163" spans="1:15" ht="12.75">
      <c r="A163" s="4">
        <f aca="true" t="shared" si="32" ref="A163:A182">_XLL.FECHA.MES(A162,1)</f>
        <v>44847</v>
      </c>
      <c r="B163" s="9">
        <f>IF(DIAS365('CALCULADORA TIPS Pesos E-11'!$E$6,A163)&lt;0,0,DIAS365('CALCULADORA TIPS Pesos E-11'!$E$6,A163))</f>
        <v>3346</v>
      </c>
      <c r="C163" s="5">
        <f>+HLOOKUP('CALCULADORA TIPS Pesos E-11'!$E$4,Tablas!$B$1:$C$181,Flujos!J163+1,FALSE)</f>
        <v>0</v>
      </c>
      <c r="D163" s="14">
        <f t="shared" si="24"/>
        <v>0</v>
      </c>
      <c r="E163" s="15">
        <f t="shared" si="25"/>
        <v>0</v>
      </c>
      <c r="F163" s="15">
        <f>ROUND(D162*ROUND(((1+'CALCULADORA TIPS Pesos E-11'!$C$14)^(1/12)-1),6),6)</f>
        <v>0</v>
      </c>
      <c r="G163" s="15">
        <f t="shared" si="26"/>
        <v>0</v>
      </c>
      <c r="H163" s="28">
        <f>IF($B163=0,0,G163/POWER(1+'CALCULADORA TIPS Pesos E-11'!$F$11,Flujos!$B163/365))</f>
        <v>0</v>
      </c>
      <c r="I163" s="30">
        <f t="shared" si="23"/>
        <v>44847</v>
      </c>
      <c r="J163" s="25">
        <v>161</v>
      </c>
      <c r="K163" s="12">
        <f t="shared" si="27"/>
        <v>4898</v>
      </c>
      <c r="L163" s="94">
        <f t="shared" si="28"/>
        <v>3.635883331298828E-06</v>
      </c>
      <c r="M163" s="91">
        <f t="shared" si="29"/>
        <v>0</v>
      </c>
      <c r="N163" s="91">
        <f t="shared" si="30"/>
        <v>3.037780523300171E-08</v>
      </c>
      <c r="O163" s="92">
        <f t="shared" si="31"/>
        <v>3.037780523300171E-08</v>
      </c>
    </row>
    <row r="164" spans="1:15" ht="12.75">
      <c r="A164" s="4">
        <f t="shared" si="32"/>
        <v>44878</v>
      </c>
      <c r="B164" s="9">
        <f>IF(DIAS365('CALCULADORA TIPS Pesos E-11'!$E$6,A164)&lt;0,0,DIAS365('CALCULADORA TIPS Pesos E-11'!$E$6,A164))</f>
        <v>3377</v>
      </c>
      <c r="C164" s="5">
        <f>+HLOOKUP('CALCULADORA TIPS Pesos E-11'!$E$4,Tablas!$B$1:$C$181,Flujos!J164+1,FALSE)</f>
        <v>0</v>
      </c>
      <c r="D164" s="14">
        <f t="shared" si="24"/>
        <v>0</v>
      </c>
      <c r="E164" s="15">
        <f t="shared" si="25"/>
        <v>0</v>
      </c>
      <c r="F164" s="15">
        <f>ROUND(D163*ROUND(((1+'CALCULADORA TIPS Pesos E-11'!$C$14)^(1/12)-1),6),6)</f>
        <v>0</v>
      </c>
      <c r="G164" s="15">
        <f t="shared" si="26"/>
        <v>0</v>
      </c>
      <c r="H164" s="28">
        <f>IF($B164=0,0,G164/POWER(1+'CALCULADORA TIPS Pesos E-11'!$F$11,Flujos!$B164/365))</f>
        <v>0</v>
      </c>
      <c r="I164" s="30">
        <f t="shared" si="23"/>
        <v>44878</v>
      </c>
      <c r="J164" s="25">
        <v>162</v>
      </c>
      <c r="K164" s="12">
        <f t="shared" si="27"/>
        <v>4929</v>
      </c>
      <c r="L164" s="94">
        <f t="shared" si="28"/>
        <v>3.635883331298828E-06</v>
      </c>
      <c r="M164" s="91">
        <f t="shared" si="29"/>
        <v>0</v>
      </c>
      <c r="N164" s="91">
        <f t="shared" si="30"/>
        <v>3.037780523300171E-08</v>
      </c>
      <c r="O164" s="92">
        <f t="shared" si="31"/>
        <v>3.037780523300171E-08</v>
      </c>
    </row>
    <row r="165" spans="1:15" ht="12.75">
      <c r="A165" s="4">
        <f t="shared" si="32"/>
        <v>44908</v>
      </c>
      <c r="B165" s="9">
        <f>IF(DIAS365('CALCULADORA TIPS Pesos E-11'!$E$6,A165)&lt;0,0,DIAS365('CALCULADORA TIPS Pesos E-11'!$E$6,A165))</f>
        <v>3407</v>
      </c>
      <c r="C165" s="5">
        <f>+HLOOKUP('CALCULADORA TIPS Pesos E-11'!$E$4,Tablas!$B$1:$C$181,Flujos!J165+1,FALSE)</f>
        <v>0</v>
      </c>
      <c r="D165" s="14">
        <f t="shared" si="24"/>
        <v>0</v>
      </c>
      <c r="E165" s="15">
        <f t="shared" si="25"/>
        <v>0</v>
      </c>
      <c r="F165" s="15">
        <f>ROUND(D164*ROUND(((1+'CALCULADORA TIPS Pesos E-11'!$C$14)^(1/12)-1),6),6)</f>
        <v>0</v>
      </c>
      <c r="G165" s="15">
        <f t="shared" si="26"/>
        <v>0</v>
      </c>
      <c r="H165" s="28">
        <f>IF($B165=0,0,G165/POWER(1+'CALCULADORA TIPS Pesos E-11'!$F$11,Flujos!$B165/365))</f>
        <v>0</v>
      </c>
      <c r="I165" s="30">
        <f t="shared" si="23"/>
        <v>44908</v>
      </c>
      <c r="J165" s="25">
        <v>163</v>
      </c>
      <c r="K165" s="12">
        <f t="shared" si="27"/>
        <v>4959</v>
      </c>
      <c r="L165" s="94">
        <f t="shared" si="28"/>
        <v>3.635883331298828E-06</v>
      </c>
      <c r="M165" s="91">
        <f t="shared" si="29"/>
        <v>0</v>
      </c>
      <c r="N165" s="91">
        <f t="shared" si="30"/>
        <v>3.037780523300171E-08</v>
      </c>
      <c r="O165" s="92">
        <f t="shared" si="31"/>
        <v>3.037780523300171E-08</v>
      </c>
    </row>
    <row r="166" spans="1:15" ht="12.75">
      <c r="A166" s="4">
        <f t="shared" si="32"/>
        <v>44939</v>
      </c>
      <c r="B166" s="9">
        <f>IF(DIAS365('CALCULADORA TIPS Pesos E-11'!$E$6,A166)&lt;0,0,DIAS365('CALCULADORA TIPS Pesos E-11'!$E$6,A166))</f>
        <v>3438</v>
      </c>
      <c r="C166" s="5">
        <f>+HLOOKUP('CALCULADORA TIPS Pesos E-11'!$E$4,Tablas!$B$1:$C$181,Flujos!J166+1,FALSE)</f>
        <v>0</v>
      </c>
      <c r="D166" s="14">
        <f t="shared" si="24"/>
        <v>0</v>
      </c>
      <c r="E166" s="15">
        <f t="shared" si="25"/>
        <v>0</v>
      </c>
      <c r="F166" s="15">
        <f>ROUND(D165*ROUND(((1+'CALCULADORA TIPS Pesos E-11'!$C$14)^(1/12)-1),6),6)</f>
        <v>0</v>
      </c>
      <c r="G166" s="15">
        <f t="shared" si="26"/>
        <v>0</v>
      </c>
      <c r="H166" s="28">
        <f>IF($B166=0,0,G166/POWER(1+'CALCULADORA TIPS Pesos E-11'!$F$11,Flujos!$B166/365))</f>
        <v>0</v>
      </c>
      <c r="I166" s="30">
        <f t="shared" si="23"/>
        <v>44939</v>
      </c>
      <c r="J166" s="25">
        <v>164</v>
      </c>
      <c r="K166" s="12">
        <f t="shared" si="27"/>
        <v>4990</v>
      </c>
      <c r="L166" s="94">
        <f t="shared" si="28"/>
        <v>3.635883331298828E-06</v>
      </c>
      <c r="M166" s="91">
        <f t="shared" si="29"/>
        <v>0</v>
      </c>
      <c r="N166" s="91">
        <f t="shared" si="30"/>
        <v>3.037780523300171E-08</v>
      </c>
      <c r="O166" s="92">
        <f t="shared" si="31"/>
        <v>3.037780523300171E-08</v>
      </c>
    </row>
    <row r="167" spans="1:15" ht="12.75">
      <c r="A167" s="4">
        <f t="shared" si="32"/>
        <v>44970</v>
      </c>
      <c r="B167" s="9">
        <f>IF(DIAS365('CALCULADORA TIPS Pesos E-11'!$E$6,A167)&lt;0,0,DIAS365('CALCULADORA TIPS Pesos E-11'!$E$6,A167))</f>
        <v>3469</v>
      </c>
      <c r="C167" s="5">
        <f>+HLOOKUP('CALCULADORA TIPS Pesos E-11'!$E$4,Tablas!$B$1:$C$181,Flujos!J167+1,FALSE)</f>
        <v>0</v>
      </c>
      <c r="D167" s="14">
        <f t="shared" si="24"/>
        <v>0</v>
      </c>
      <c r="E167" s="15">
        <f t="shared" si="25"/>
        <v>0</v>
      </c>
      <c r="F167" s="15">
        <f>ROUND(D166*ROUND(((1+'CALCULADORA TIPS Pesos E-11'!$C$14)^(1/12)-1),6),6)</f>
        <v>0</v>
      </c>
      <c r="G167" s="15">
        <f t="shared" si="26"/>
        <v>0</v>
      </c>
      <c r="H167" s="28">
        <f>IF($B167=0,0,G167/POWER(1+'CALCULADORA TIPS Pesos E-11'!$F$11,Flujos!$B167/365))</f>
        <v>0</v>
      </c>
      <c r="I167" s="30">
        <f t="shared" si="23"/>
        <v>44970</v>
      </c>
      <c r="J167" s="25">
        <v>165</v>
      </c>
      <c r="K167" s="12">
        <f t="shared" si="27"/>
        <v>5021</v>
      </c>
      <c r="L167" s="94">
        <f t="shared" si="28"/>
        <v>3.635883331298828E-06</v>
      </c>
      <c r="M167" s="91">
        <f t="shared" si="29"/>
        <v>0</v>
      </c>
      <c r="N167" s="91">
        <f t="shared" si="30"/>
        <v>3.037780523300171E-08</v>
      </c>
      <c r="O167" s="92">
        <f t="shared" si="31"/>
        <v>3.037780523300171E-08</v>
      </c>
    </row>
    <row r="168" spans="1:15" ht="12.75">
      <c r="A168" s="4">
        <f t="shared" si="32"/>
        <v>44998</v>
      </c>
      <c r="B168" s="9">
        <f>IF(DIAS365('CALCULADORA TIPS Pesos E-11'!$E$6,A168)&lt;0,0,DIAS365('CALCULADORA TIPS Pesos E-11'!$E$6,A168))</f>
        <v>3497</v>
      </c>
      <c r="C168" s="5">
        <f>+HLOOKUP('CALCULADORA TIPS Pesos E-11'!$E$4,Tablas!$B$1:$C$181,Flujos!J168+1,FALSE)</f>
        <v>0</v>
      </c>
      <c r="D168" s="14">
        <f t="shared" si="24"/>
        <v>0</v>
      </c>
      <c r="E168" s="15">
        <f t="shared" si="25"/>
        <v>0</v>
      </c>
      <c r="F168" s="15">
        <f>ROUND(D167*ROUND(((1+'CALCULADORA TIPS Pesos E-11'!$C$14)^(1/12)-1),6),6)</f>
        <v>0</v>
      </c>
      <c r="G168" s="15">
        <f t="shared" si="26"/>
        <v>0</v>
      </c>
      <c r="H168" s="28">
        <f>IF($B168=0,0,G168/POWER(1+'CALCULADORA TIPS Pesos E-11'!$F$11,Flujos!$B168/365))</f>
        <v>0</v>
      </c>
      <c r="I168" s="30">
        <f t="shared" si="23"/>
        <v>44998</v>
      </c>
      <c r="J168" s="25">
        <v>166</v>
      </c>
      <c r="K168" s="12">
        <f t="shared" si="27"/>
        <v>5049</v>
      </c>
      <c r="L168" s="94">
        <f t="shared" si="28"/>
        <v>3.635883331298828E-06</v>
      </c>
      <c r="M168" s="91">
        <f t="shared" si="29"/>
        <v>0</v>
      </c>
      <c r="N168" s="91">
        <f t="shared" si="30"/>
        <v>3.037780523300171E-08</v>
      </c>
      <c r="O168" s="92">
        <f t="shared" si="31"/>
        <v>3.037780523300171E-08</v>
      </c>
    </row>
    <row r="169" spans="1:15" ht="12.75">
      <c r="A169" s="4">
        <f t="shared" si="32"/>
        <v>45029</v>
      </c>
      <c r="B169" s="9">
        <f>IF(DIAS365('CALCULADORA TIPS Pesos E-11'!$E$6,A169)&lt;0,0,DIAS365('CALCULADORA TIPS Pesos E-11'!$E$6,A169))</f>
        <v>3528</v>
      </c>
      <c r="C169" s="5">
        <f>+HLOOKUP('CALCULADORA TIPS Pesos E-11'!$E$4,Tablas!$B$1:$C$181,Flujos!J169+1,FALSE)</f>
        <v>0</v>
      </c>
      <c r="D169" s="14">
        <f t="shared" si="24"/>
        <v>0</v>
      </c>
      <c r="E169" s="15">
        <f t="shared" si="25"/>
        <v>0</v>
      </c>
      <c r="F169" s="15">
        <f>ROUND(D168*ROUND(((1+'CALCULADORA TIPS Pesos E-11'!$C$14)^(1/12)-1),6),6)</f>
        <v>0</v>
      </c>
      <c r="G169" s="15">
        <f t="shared" si="26"/>
        <v>0</v>
      </c>
      <c r="H169" s="28">
        <f>IF($B169=0,0,G169/POWER(1+'CALCULADORA TIPS Pesos E-11'!$F$11,Flujos!$B169/365))</f>
        <v>0</v>
      </c>
      <c r="I169" s="30">
        <f t="shared" si="23"/>
        <v>45029</v>
      </c>
      <c r="J169" s="25">
        <v>167</v>
      </c>
      <c r="K169" s="12">
        <f t="shared" si="27"/>
        <v>5080</v>
      </c>
      <c r="L169" s="94">
        <f t="shared" si="28"/>
        <v>3.635883331298828E-06</v>
      </c>
      <c r="M169" s="91">
        <f t="shared" si="29"/>
        <v>0</v>
      </c>
      <c r="N169" s="91">
        <f t="shared" si="30"/>
        <v>3.037780523300171E-08</v>
      </c>
      <c r="O169" s="92">
        <f t="shared" si="31"/>
        <v>3.037780523300171E-08</v>
      </c>
    </row>
    <row r="170" spans="1:15" ht="12.75">
      <c r="A170" s="4">
        <f t="shared" si="32"/>
        <v>45059</v>
      </c>
      <c r="B170" s="9">
        <f>IF(DIAS365('CALCULADORA TIPS Pesos E-11'!$E$6,A170)&lt;0,0,DIAS365('CALCULADORA TIPS Pesos E-11'!$E$6,A170))</f>
        <v>3558</v>
      </c>
      <c r="C170" s="5">
        <f>+HLOOKUP('CALCULADORA TIPS Pesos E-11'!$E$4,Tablas!$B$1:$C$181,Flujos!J170+1,FALSE)</f>
        <v>0</v>
      </c>
      <c r="D170" s="14">
        <f t="shared" si="24"/>
        <v>0</v>
      </c>
      <c r="E170" s="15">
        <f t="shared" si="25"/>
        <v>0</v>
      </c>
      <c r="F170" s="15">
        <f>ROUND(D169*ROUND(((1+'CALCULADORA TIPS Pesos E-11'!$C$14)^(1/12)-1),6),6)</f>
        <v>0</v>
      </c>
      <c r="G170" s="15">
        <f t="shared" si="26"/>
        <v>0</v>
      </c>
      <c r="H170" s="28">
        <f>IF($B170=0,0,G170/POWER(1+'CALCULADORA TIPS Pesos E-11'!$F$11,Flujos!$B170/365))</f>
        <v>0</v>
      </c>
      <c r="I170" s="30">
        <f t="shared" si="23"/>
        <v>45059</v>
      </c>
      <c r="J170" s="25">
        <v>168</v>
      </c>
      <c r="K170" s="12">
        <f t="shared" si="27"/>
        <v>5110</v>
      </c>
      <c r="L170" s="94">
        <f t="shared" si="28"/>
        <v>3.635883331298828E-06</v>
      </c>
      <c r="M170" s="91">
        <f t="shared" si="29"/>
        <v>0</v>
      </c>
      <c r="N170" s="91">
        <f t="shared" si="30"/>
        <v>3.037780523300171E-08</v>
      </c>
      <c r="O170" s="92">
        <f t="shared" si="31"/>
        <v>3.037780523300171E-08</v>
      </c>
    </row>
    <row r="171" spans="1:15" ht="12.75">
      <c r="A171" s="4">
        <f t="shared" si="32"/>
        <v>45090</v>
      </c>
      <c r="B171" s="9">
        <f>IF(DIAS365('CALCULADORA TIPS Pesos E-11'!$E$6,A171)&lt;0,0,DIAS365('CALCULADORA TIPS Pesos E-11'!$E$6,A171))</f>
        <v>3589</v>
      </c>
      <c r="C171" s="5">
        <f>+HLOOKUP('CALCULADORA TIPS Pesos E-11'!$E$4,Tablas!$B$1:$C$181,Flujos!J171+1,FALSE)</f>
        <v>0</v>
      </c>
      <c r="D171" s="14">
        <f t="shared" si="24"/>
        <v>0</v>
      </c>
      <c r="E171" s="15">
        <f t="shared" si="25"/>
        <v>0</v>
      </c>
      <c r="F171" s="15">
        <f>ROUND(D170*ROUND(((1+'CALCULADORA TIPS Pesos E-11'!$C$14)^(1/12)-1),6),6)</f>
        <v>0</v>
      </c>
      <c r="G171" s="15">
        <f t="shared" si="26"/>
        <v>0</v>
      </c>
      <c r="H171" s="28">
        <f>IF($B171=0,0,G171/POWER(1+'CALCULADORA TIPS Pesos E-11'!$F$11,Flujos!$B171/365))</f>
        <v>0</v>
      </c>
      <c r="I171" s="30">
        <f t="shared" si="23"/>
        <v>45090</v>
      </c>
      <c r="J171" s="25">
        <v>169</v>
      </c>
      <c r="K171" s="12">
        <f t="shared" si="27"/>
        <v>5141</v>
      </c>
      <c r="L171" s="94">
        <f t="shared" si="28"/>
        <v>3.635883331298828E-06</v>
      </c>
      <c r="M171" s="91">
        <f t="shared" si="29"/>
        <v>0</v>
      </c>
      <c r="N171" s="91">
        <f t="shared" si="30"/>
        <v>3.037780523300171E-08</v>
      </c>
      <c r="O171" s="92">
        <f t="shared" si="31"/>
        <v>3.037780523300171E-08</v>
      </c>
    </row>
    <row r="172" spans="1:15" ht="12.75">
      <c r="A172" s="4">
        <f t="shared" si="32"/>
        <v>45120</v>
      </c>
      <c r="B172" s="9">
        <f>IF(DIAS365('CALCULADORA TIPS Pesos E-11'!$E$6,A172)&lt;0,0,DIAS365('CALCULADORA TIPS Pesos E-11'!$E$6,A172))</f>
        <v>3619</v>
      </c>
      <c r="C172" s="5">
        <f>+HLOOKUP('CALCULADORA TIPS Pesos E-11'!$E$4,Tablas!$B$1:$C$181,Flujos!J172+1,FALSE)</f>
        <v>0</v>
      </c>
      <c r="D172" s="14">
        <f t="shared" si="24"/>
        <v>0</v>
      </c>
      <c r="E172" s="15">
        <f t="shared" si="25"/>
        <v>0</v>
      </c>
      <c r="F172" s="15">
        <f>ROUND(D171*ROUND(((1+'CALCULADORA TIPS Pesos E-11'!$C$14)^(1/12)-1),6),6)</f>
        <v>0</v>
      </c>
      <c r="G172" s="15">
        <f t="shared" si="26"/>
        <v>0</v>
      </c>
      <c r="H172" s="28">
        <f>IF($B172=0,0,G172/POWER(1+'CALCULADORA TIPS Pesos E-11'!$F$11,Flujos!$B172/365))</f>
        <v>0</v>
      </c>
      <c r="I172" s="30">
        <f t="shared" si="23"/>
        <v>45120</v>
      </c>
      <c r="J172" s="25">
        <v>170</v>
      </c>
      <c r="K172" s="12">
        <f t="shared" si="27"/>
        <v>5171</v>
      </c>
      <c r="L172" s="94">
        <f t="shared" si="28"/>
        <v>3.635883331298828E-06</v>
      </c>
      <c r="M172" s="91">
        <f t="shared" si="29"/>
        <v>0</v>
      </c>
      <c r="N172" s="91">
        <f t="shared" si="30"/>
        <v>3.037780523300171E-08</v>
      </c>
      <c r="O172" s="92">
        <f t="shared" si="31"/>
        <v>3.037780523300171E-08</v>
      </c>
    </row>
    <row r="173" spans="1:15" ht="12.75">
      <c r="A173" s="4">
        <f t="shared" si="32"/>
        <v>45151</v>
      </c>
      <c r="B173" s="9">
        <f>IF(DIAS365('CALCULADORA TIPS Pesos E-11'!$E$6,A173)&lt;0,0,DIAS365('CALCULADORA TIPS Pesos E-11'!$E$6,A173))</f>
        <v>3650</v>
      </c>
      <c r="C173" s="5">
        <f>+HLOOKUP('CALCULADORA TIPS Pesos E-11'!$E$4,Tablas!$B$1:$C$181,Flujos!J173+1,FALSE)</f>
        <v>0</v>
      </c>
      <c r="D173" s="14">
        <f t="shared" si="24"/>
        <v>0</v>
      </c>
      <c r="E173" s="15">
        <f t="shared" si="25"/>
        <v>0</v>
      </c>
      <c r="F173" s="15">
        <f>ROUND(D172*ROUND(((1+'CALCULADORA TIPS Pesos E-11'!$C$14)^(1/12)-1),6),6)</f>
        <v>0</v>
      </c>
      <c r="G173" s="15">
        <f t="shared" si="26"/>
        <v>0</v>
      </c>
      <c r="H173" s="28">
        <f>IF($B173=0,0,G173/POWER(1+'CALCULADORA TIPS Pesos E-11'!$F$11,Flujos!$B173/365))</f>
        <v>0</v>
      </c>
      <c r="I173" s="30">
        <f t="shared" si="23"/>
        <v>45151</v>
      </c>
      <c r="J173" s="25">
        <v>171</v>
      </c>
      <c r="K173" s="12">
        <f t="shared" si="27"/>
        <v>5202</v>
      </c>
      <c r="L173" s="94">
        <f t="shared" si="28"/>
        <v>3.635883331298828E-06</v>
      </c>
      <c r="M173" s="91">
        <f t="shared" si="29"/>
        <v>0</v>
      </c>
      <c r="N173" s="91">
        <f t="shared" si="30"/>
        <v>3.037780523300171E-08</v>
      </c>
      <c r="O173" s="92">
        <f t="shared" si="31"/>
        <v>3.037780523300171E-08</v>
      </c>
    </row>
    <row r="174" spans="1:15" ht="12.75">
      <c r="A174" s="4">
        <f t="shared" si="32"/>
        <v>45182</v>
      </c>
      <c r="B174" s="9">
        <f>IF(DIAS365('CALCULADORA TIPS Pesos E-11'!$E$6,A174)&lt;0,0,DIAS365('CALCULADORA TIPS Pesos E-11'!$E$6,A174))</f>
        <v>3681</v>
      </c>
      <c r="C174" s="5">
        <f>+HLOOKUP('CALCULADORA TIPS Pesos E-11'!$E$4,Tablas!$B$1:$C$181,Flujos!J174+1,FALSE)</f>
        <v>0</v>
      </c>
      <c r="D174" s="14">
        <f t="shared" si="24"/>
        <v>0</v>
      </c>
      <c r="E174" s="15">
        <f t="shared" si="25"/>
        <v>0</v>
      </c>
      <c r="F174" s="15">
        <f>ROUND(D173*ROUND(((1+'CALCULADORA TIPS Pesos E-11'!$C$14)^(1/12)-1),6),6)</f>
        <v>0</v>
      </c>
      <c r="G174" s="15">
        <f t="shared" si="26"/>
        <v>0</v>
      </c>
      <c r="H174" s="28">
        <f>IF($B174=0,0,G174/POWER(1+'CALCULADORA TIPS Pesos E-11'!$F$11,Flujos!$B174/365))</f>
        <v>0</v>
      </c>
      <c r="I174" s="30">
        <f t="shared" si="23"/>
        <v>45182</v>
      </c>
      <c r="J174" s="25">
        <v>172</v>
      </c>
      <c r="K174" s="12">
        <f t="shared" si="27"/>
        <v>5233</v>
      </c>
      <c r="L174" s="94">
        <f t="shared" si="28"/>
        <v>3.635883331298828E-06</v>
      </c>
      <c r="M174" s="91">
        <f t="shared" si="29"/>
        <v>0</v>
      </c>
      <c r="N174" s="91">
        <f t="shared" si="30"/>
        <v>3.037780523300171E-08</v>
      </c>
      <c r="O174" s="92">
        <f t="shared" si="31"/>
        <v>3.037780523300171E-08</v>
      </c>
    </row>
    <row r="175" spans="1:15" ht="12.75">
      <c r="A175" s="4">
        <f t="shared" si="32"/>
        <v>45212</v>
      </c>
      <c r="B175" s="9">
        <f>IF(DIAS365('CALCULADORA TIPS Pesos E-11'!$E$6,A175)&lt;0,0,DIAS365('CALCULADORA TIPS Pesos E-11'!$E$6,A175))</f>
        <v>3711</v>
      </c>
      <c r="C175" s="5">
        <f>+HLOOKUP('CALCULADORA TIPS Pesos E-11'!$E$4,Tablas!$B$1:$C$181,Flujos!J175+1,FALSE)</f>
        <v>0</v>
      </c>
      <c r="D175" s="14">
        <f t="shared" si="24"/>
        <v>0</v>
      </c>
      <c r="E175" s="15">
        <f t="shared" si="25"/>
        <v>0</v>
      </c>
      <c r="F175" s="15">
        <f>ROUND(D174*ROUND(((1+'CALCULADORA TIPS Pesos E-11'!$C$14)^(1/12)-1),6),6)</f>
        <v>0</v>
      </c>
      <c r="G175" s="15">
        <f t="shared" si="26"/>
        <v>0</v>
      </c>
      <c r="H175" s="28">
        <f>IF($B175=0,0,G175/POWER(1+'CALCULADORA TIPS Pesos E-11'!$F$11,Flujos!$B175/365))</f>
        <v>0</v>
      </c>
      <c r="I175" s="30">
        <f t="shared" si="23"/>
        <v>45212</v>
      </c>
      <c r="J175" s="25">
        <v>173</v>
      </c>
      <c r="K175" s="12">
        <f t="shared" si="27"/>
        <v>5263</v>
      </c>
      <c r="L175" s="94">
        <f t="shared" si="28"/>
        <v>3.635883331298828E-06</v>
      </c>
      <c r="M175" s="91">
        <f t="shared" si="29"/>
        <v>0</v>
      </c>
      <c r="N175" s="91">
        <f t="shared" si="30"/>
        <v>3.037780523300171E-08</v>
      </c>
      <c r="O175" s="92">
        <f t="shared" si="31"/>
        <v>3.037780523300171E-08</v>
      </c>
    </row>
    <row r="176" spans="1:15" ht="12.75">
      <c r="A176" s="4">
        <f t="shared" si="32"/>
        <v>45243</v>
      </c>
      <c r="B176" s="9">
        <f>IF(DIAS365('CALCULADORA TIPS Pesos E-11'!$E$6,A176)&lt;0,0,DIAS365('CALCULADORA TIPS Pesos E-11'!$E$6,A176))</f>
        <v>3742</v>
      </c>
      <c r="C176" s="5">
        <f>+HLOOKUP('CALCULADORA TIPS Pesos E-11'!$E$4,Tablas!$B$1:$C$181,Flujos!J176+1,FALSE)</f>
        <v>0</v>
      </c>
      <c r="D176" s="14">
        <f t="shared" si="24"/>
        <v>0</v>
      </c>
      <c r="E176" s="15">
        <f t="shared" si="25"/>
        <v>0</v>
      </c>
      <c r="F176" s="15">
        <f>ROUND(D175*ROUND(((1+'CALCULADORA TIPS Pesos E-11'!$C$14)^(1/12)-1),6),6)</f>
        <v>0</v>
      </c>
      <c r="G176" s="15">
        <f t="shared" si="26"/>
        <v>0</v>
      </c>
      <c r="H176" s="28">
        <f>IF($B176=0,0,G176/POWER(1+'CALCULADORA TIPS Pesos E-11'!$F$11,Flujos!$B176/365))</f>
        <v>0</v>
      </c>
      <c r="I176" s="30">
        <f t="shared" si="23"/>
        <v>45243</v>
      </c>
      <c r="J176" s="25">
        <v>174</v>
      </c>
      <c r="K176" s="12">
        <f t="shared" si="27"/>
        <v>5294</v>
      </c>
      <c r="L176" s="94">
        <f t="shared" si="28"/>
        <v>3.635883331298828E-06</v>
      </c>
      <c r="M176" s="91">
        <f t="shared" si="29"/>
        <v>0</v>
      </c>
      <c r="N176" s="91">
        <f t="shared" si="30"/>
        <v>3.037780523300171E-08</v>
      </c>
      <c r="O176" s="92">
        <f t="shared" si="31"/>
        <v>3.037780523300171E-08</v>
      </c>
    </row>
    <row r="177" spans="1:15" ht="12.75">
      <c r="A177" s="4">
        <f t="shared" si="32"/>
        <v>45273</v>
      </c>
      <c r="B177" s="9">
        <f>IF(DIAS365('CALCULADORA TIPS Pesos E-11'!$E$6,A177)&lt;0,0,DIAS365('CALCULADORA TIPS Pesos E-11'!$E$6,A177))</f>
        <v>3772</v>
      </c>
      <c r="C177" s="5">
        <f>+HLOOKUP('CALCULADORA TIPS Pesos E-11'!$E$4,Tablas!$B$1:$C$181,Flujos!J177+1,FALSE)</f>
        <v>0</v>
      </c>
      <c r="D177" s="14">
        <f t="shared" si="24"/>
        <v>0</v>
      </c>
      <c r="E177" s="15">
        <f t="shared" si="25"/>
        <v>0</v>
      </c>
      <c r="F177" s="15">
        <f>ROUND(D176*ROUND(((1+'CALCULADORA TIPS Pesos E-11'!$C$14)^(1/12)-1),6),6)</f>
        <v>0</v>
      </c>
      <c r="G177" s="15">
        <f t="shared" si="26"/>
        <v>0</v>
      </c>
      <c r="H177" s="28">
        <f>IF($B177=0,0,G177/POWER(1+'CALCULADORA TIPS Pesos E-11'!$F$11,Flujos!$B177/365))</f>
        <v>0</v>
      </c>
      <c r="I177" s="30">
        <f t="shared" si="23"/>
        <v>45273</v>
      </c>
      <c r="J177" s="25">
        <v>175</v>
      </c>
      <c r="K177" s="12">
        <f t="shared" si="27"/>
        <v>5324</v>
      </c>
      <c r="L177" s="94">
        <f t="shared" si="28"/>
        <v>3.635883331298828E-06</v>
      </c>
      <c r="M177" s="91">
        <f t="shared" si="29"/>
        <v>0</v>
      </c>
      <c r="N177" s="91">
        <f t="shared" si="30"/>
        <v>3.037780523300171E-08</v>
      </c>
      <c r="O177" s="92">
        <f t="shared" si="31"/>
        <v>3.037780523300171E-08</v>
      </c>
    </row>
    <row r="178" spans="1:15" ht="12.75">
      <c r="A178" s="4">
        <f t="shared" si="32"/>
        <v>45304</v>
      </c>
      <c r="B178" s="9">
        <f>IF(DIAS365('CALCULADORA TIPS Pesos E-11'!$E$6,A178)&lt;0,0,DIAS365('CALCULADORA TIPS Pesos E-11'!$E$6,A178))</f>
        <v>3803</v>
      </c>
      <c r="C178" s="5">
        <f>+HLOOKUP('CALCULADORA TIPS Pesos E-11'!$E$4,Tablas!$B$1:$C$181,Flujos!J178+1,FALSE)</f>
        <v>0</v>
      </c>
      <c r="D178" s="14">
        <f t="shared" si="24"/>
        <v>0</v>
      </c>
      <c r="E178" s="15">
        <f t="shared" si="25"/>
        <v>0</v>
      </c>
      <c r="F178" s="15">
        <f>ROUND(D177*ROUND(((1+'CALCULADORA TIPS Pesos E-11'!$C$14)^(1/12)-1),6),6)</f>
        <v>0</v>
      </c>
      <c r="G178" s="15">
        <f t="shared" si="26"/>
        <v>0</v>
      </c>
      <c r="H178" s="28">
        <f>IF($B178=0,0,G178/POWER(1+'CALCULADORA TIPS Pesos E-11'!$F$11,Flujos!$B178/365))</f>
        <v>0</v>
      </c>
      <c r="I178" s="30">
        <f t="shared" si="23"/>
        <v>45304</v>
      </c>
      <c r="J178" s="25">
        <v>176</v>
      </c>
      <c r="K178" s="12">
        <f t="shared" si="27"/>
        <v>5355</v>
      </c>
      <c r="L178" s="94">
        <f t="shared" si="28"/>
        <v>3.635883331298828E-06</v>
      </c>
      <c r="M178" s="91">
        <f t="shared" si="29"/>
        <v>0</v>
      </c>
      <c r="N178" s="91">
        <f t="shared" si="30"/>
        <v>3.037780523300171E-08</v>
      </c>
      <c r="O178" s="92">
        <f t="shared" si="31"/>
        <v>3.037780523300171E-08</v>
      </c>
    </row>
    <row r="179" spans="1:15" ht="12.75">
      <c r="A179" s="4">
        <f t="shared" si="32"/>
        <v>45335</v>
      </c>
      <c r="B179" s="9">
        <f>IF(DIAS365('CALCULADORA TIPS Pesos E-11'!$E$6,A179)&lt;0,0,DIAS365('CALCULADORA TIPS Pesos E-11'!$E$6,A179))</f>
        <v>3834</v>
      </c>
      <c r="C179" s="5">
        <f>+HLOOKUP('CALCULADORA TIPS Pesos E-11'!$E$4,Tablas!$B$1:$C$181,Flujos!J179+1,FALSE)</f>
        <v>0</v>
      </c>
      <c r="D179" s="14">
        <f t="shared" si="24"/>
        <v>0</v>
      </c>
      <c r="E179" s="15">
        <f t="shared" si="25"/>
        <v>0</v>
      </c>
      <c r="F179" s="15">
        <f>ROUND(D178*ROUND(((1+'CALCULADORA TIPS Pesos E-11'!$C$14)^(1/12)-1),6),6)</f>
        <v>0</v>
      </c>
      <c r="G179" s="15">
        <f t="shared" si="26"/>
        <v>0</v>
      </c>
      <c r="H179" s="28">
        <f>IF($B179=0,0,G179/POWER(1+'CALCULADORA TIPS Pesos E-11'!$F$11,Flujos!$B179/365))</f>
        <v>0</v>
      </c>
      <c r="I179" s="30">
        <f t="shared" si="23"/>
        <v>45335</v>
      </c>
      <c r="J179" s="25">
        <v>177</v>
      </c>
      <c r="K179" s="12">
        <f t="shared" si="27"/>
        <v>5386</v>
      </c>
      <c r="L179" s="94">
        <f t="shared" si="28"/>
        <v>3.635883331298828E-06</v>
      </c>
      <c r="M179" s="91">
        <f t="shared" si="29"/>
        <v>0</v>
      </c>
      <c r="N179" s="91">
        <f t="shared" si="30"/>
        <v>3.037780523300171E-08</v>
      </c>
      <c r="O179" s="92">
        <f t="shared" si="31"/>
        <v>3.037780523300171E-08</v>
      </c>
    </row>
    <row r="180" spans="1:15" ht="12.75">
      <c r="A180" s="4">
        <f t="shared" si="32"/>
        <v>45364</v>
      </c>
      <c r="B180" s="9">
        <f>IF(DIAS365('CALCULADORA TIPS Pesos E-11'!$E$6,A180)&lt;0,0,DIAS365('CALCULADORA TIPS Pesos E-11'!$E$6,A180))</f>
        <v>3862</v>
      </c>
      <c r="C180" s="5">
        <f>+HLOOKUP('CALCULADORA TIPS Pesos E-11'!$E$4,Tablas!$B$1:$C$181,Flujos!J180+1,FALSE)</f>
        <v>0</v>
      </c>
      <c r="D180" s="14">
        <f t="shared" si="24"/>
        <v>0</v>
      </c>
      <c r="E180" s="15">
        <f t="shared" si="25"/>
        <v>0</v>
      </c>
      <c r="F180" s="15">
        <f>ROUND(D179*ROUND(((1+'CALCULADORA TIPS Pesos E-11'!$C$14)^(1/12)-1),6),6)</f>
        <v>0</v>
      </c>
      <c r="G180" s="15">
        <f t="shared" si="26"/>
        <v>0</v>
      </c>
      <c r="H180" s="28">
        <f>IF($B180=0,0,G180/POWER(1+'CALCULADORA TIPS Pesos E-11'!$F$11,Flujos!$B180/365))</f>
        <v>0</v>
      </c>
      <c r="I180" s="30">
        <f t="shared" si="23"/>
        <v>45364</v>
      </c>
      <c r="J180" s="25">
        <v>178</v>
      </c>
      <c r="K180" s="12">
        <f t="shared" si="27"/>
        <v>5414</v>
      </c>
      <c r="L180" s="94">
        <f t="shared" si="28"/>
        <v>3.635883331298828E-06</v>
      </c>
      <c r="M180" s="91">
        <f t="shared" si="29"/>
        <v>0</v>
      </c>
      <c r="N180" s="91">
        <f t="shared" si="30"/>
        <v>3.037780523300171E-08</v>
      </c>
      <c r="O180" s="92">
        <f t="shared" si="31"/>
        <v>3.037780523300171E-08</v>
      </c>
    </row>
    <row r="181" spans="1:15" ht="12.75">
      <c r="A181" s="4">
        <f t="shared" si="32"/>
        <v>45395</v>
      </c>
      <c r="B181" s="9">
        <f>IF(DIAS365('CALCULADORA TIPS Pesos E-11'!$E$6,A181)&lt;0,0,DIAS365('CALCULADORA TIPS Pesos E-11'!$E$6,A181))</f>
        <v>3893</v>
      </c>
      <c r="C181" s="5">
        <f>+HLOOKUP('CALCULADORA TIPS Pesos E-11'!$E$4,Tablas!$B$1:$C$181,Flujos!J181+1,FALSE)</f>
        <v>0</v>
      </c>
      <c r="D181" s="14">
        <f t="shared" si="24"/>
        <v>0</v>
      </c>
      <c r="E181" s="15">
        <f t="shared" si="25"/>
        <v>0</v>
      </c>
      <c r="F181" s="15">
        <f>ROUND(D180*ROUND(((1+'CALCULADORA TIPS Pesos E-11'!$C$14)^(1/12)-1),6),6)</f>
        <v>0</v>
      </c>
      <c r="G181" s="15">
        <f t="shared" si="26"/>
        <v>0</v>
      </c>
      <c r="H181" s="28">
        <f>IF($B181=0,0,G181/POWER(1+'CALCULADORA TIPS Pesos E-11'!$F$11,Flujos!$B181/365))</f>
        <v>0</v>
      </c>
      <c r="I181" s="30">
        <f t="shared" si="23"/>
        <v>45395</v>
      </c>
      <c r="J181" s="25">
        <v>179</v>
      </c>
      <c r="K181" s="12">
        <f t="shared" si="27"/>
        <v>5445</v>
      </c>
      <c r="L181" s="94">
        <f t="shared" si="28"/>
        <v>3.635883331298828E-06</v>
      </c>
      <c r="M181" s="91">
        <f t="shared" si="29"/>
        <v>0</v>
      </c>
      <c r="N181" s="91">
        <f t="shared" si="30"/>
        <v>3.037780523300171E-08</v>
      </c>
      <c r="O181" s="92">
        <f t="shared" si="31"/>
        <v>3.037780523300171E-08</v>
      </c>
    </row>
    <row r="182" spans="1:15" ht="13.5" thickBot="1">
      <c r="A182" s="4">
        <f t="shared" si="32"/>
        <v>45425</v>
      </c>
      <c r="B182" s="9">
        <f>IF(DIAS365('CALCULADORA TIPS Pesos E-11'!$E$6,A182)&lt;0,0,DIAS365('CALCULADORA TIPS Pesos E-11'!$E$6,A182))</f>
        <v>3923</v>
      </c>
      <c r="C182" s="5">
        <f>+HLOOKUP('CALCULADORA TIPS Pesos E-11'!$E$4,Tablas!$B$1:$C$181,Flujos!J182+1,FALSE)</f>
        <v>0</v>
      </c>
      <c r="D182" s="14">
        <f t="shared" si="24"/>
        <v>0</v>
      </c>
      <c r="E182" s="15">
        <f t="shared" si="25"/>
        <v>0</v>
      </c>
      <c r="F182" s="15">
        <f>ROUND(D181*ROUND(((1+'CALCULADORA TIPS Pesos E-11'!$C$14)^(1/12)-1),6),6)</f>
        <v>0</v>
      </c>
      <c r="G182" s="15">
        <f t="shared" si="26"/>
        <v>0</v>
      </c>
      <c r="H182" s="28">
        <f>IF($B182=0,0,G182/POWER(1+'CALCULADORA TIPS Pesos E-11'!$F$11,Flujos!$B182/365))</f>
        <v>0</v>
      </c>
      <c r="I182" s="31">
        <f t="shared" si="23"/>
        <v>45425</v>
      </c>
      <c r="J182" s="26">
        <v>180</v>
      </c>
      <c r="K182" s="13">
        <f t="shared" si="27"/>
        <v>5475</v>
      </c>
      <c r="L182" s="95">
        <f t="shared" si="28"/>
        <v>3.635883331298828E-06</v>
      </c>
      <c r="M182" s="96">
        <f t="shared" si="29"/>
        <v>0</v>
      </c>
      <c r="N182" s="96">
        <f t="shared" si="30"/>
        <v>3.037780523300171E-08</v>
      </c>
      <c r="O182" s="97">
        <f t="shared" si="31"/>
        <v>3.037780523300171E-08</v>
      </c>
    </row>
    <row r="183" spans="1:15" ht="13.5" thickBot="1">
      <c r="A183" s="7"/>
      <c r="B183" s="8"/>
      <c r="C183" s="21">
        <f>+SUMIF(B2:B182,"&gt;0",C2:C182)</f>
        <v>0.02812009</v>
      </c>
      <c r="D183" s="16"/>
      <c r="E183" s="22">
        <f>SUM(E2:E182)</f>
        <v>100.00000000000001</v>
      </c>
      <c r="F183" s="22">
        <f>SUM(F2:F182)</f>
        <v>34.16358599999999</v>
      </c>
      <c r="G183" s="22">
        <f>SUM(G2:G182)</f>
        <v>134.16358599999995</v>
      </c>
      <c r="H183" s="23">
        <f>SUM(H2:H182)</f>
        <v>2.821274594455052</v>
      </c>
      <c r="I183" s="10"/>
      <c r="L183" s="98" t="s">
        <v>34</v>
      </c>
      <c r="M183" s="43">
        <f>SUM(M2:M182)</f>
        <v>35561763849.262215</v>
      </c>
      <c r="N183" s="43">
        <f>SUM(N2:N182)</f>
        <v>12149173942.738085</v>
      </c>
      <c r="O183" s="44">
        <f>SUM(O2:O182)</f>
        <v>47710937792.000305</v>
      </c>
    </row>
    <row r="184" spans="4:8" ht="12.75" hidden="1">
      <c r="D184" s="6"/>
      <c r="E184" s="6"/>
      <c r="F184" s="6"/>
      <c r="G184" s="6"/>
      <c r="H184" s="6"/>
    </row>
    <row r="185" ht="12.75" hidden="1"/>
    <row r="186" ht="12.75" hidden="1"/>
    <row r="187" ht="12.75" hidden="1"/>
    <row r="188" ht="12.75" hidden="1"/>
    <row r="189" ht="12.75" hidden="1"/>
    <row r="190" ht="12.75" hidden="1"/>
    <row r="191" ht="12.75" hidden="1"/>
    <row r="192" ht="12.75" hidden="1"/>
    <row r="193" ht="12.75" hidden="1"/>
    <row r="194" ht="12.75" hidden="1"/>
    <row r="195" ht="12.75" hidden="1">
      <c r="E195" s="32"/>
    </row>
  </sheetData>
  <sheetProtection password="C539" sheet="1"/>
  <printOptions/>
  <pageMargins left="0.3937007874015748" right="0.3937007874015748"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Hoja6"/>
  <dimension ref="A1:H16"/>
  <sheetViews>
    <sheetView zoomScalePageLayoutView="0" workbookViewId="0" topLeftCell="A1">
      <selection activeCell="A15" sqref="A15"/>
    </sheetView>
  </sheetViews>
  <sheetFormatPr defaultColWidth="11.421875" defaultRowHeight="12.75"/>
  <cols>
    <col min="1" max="16384" width="11.421875" style="2" customWidth="1"/>
  </cols>
  <sheetData>
    <row r="1" spans="1:8" ht="12.75">
      <c r="A1" s="312" t="s">
        <v>75</v>
      </c>
      <c r="B1" s="313"/>
      <c r="C1" s="313"/>
      <c r="D1" s="313"/>
      <c r="E1" s="313"/>
      <c r="F1" s="313"/>
      <c r="G1" s="313"/>
      <c r="H1" s="313"/>
    </row>
    <row r="2" spans="1:8" ht="12.75">
      <c r="A2" s="313"/>
      <c r="B2" s="313"/>
      <c r="C2" s="313"/>
      <c r="D2" s="313"/>
      <c r="E2" s="313"/>
      <c r="F2" s="313"/>
      <c r="G2" s="313"/>
      <c r="H2" s="313"/>
    </row>
    <row r="3" spans="1:8" ht="12.75">
      <c r="A3" s="313"/>
      <c r="B3" s="313"/>
      <c r="C3" s="313"/>
      <c r="D3" s="313"/>
      <c r="E3" s="313"/>
      <c r="F3" s="313"/>
      <c r="G3" s="313"/>
      <c r="H3" s="313"/>
    </row>
    <row r="4" spans="1:8" ht="12.75">
      <c r="A4" s="313"/>
      <c r="B4" s="313"/>
      <c r="C4" s="313"/>
      <c r="D4" s="313"/>
      <c r="E4" s="313"/>
      <c r="F4" s="313"/>
      <c r="G4" s="313"/>
      <c r="H4" s="313"/>
    </row>
    <row r="5" spans="1:8" ht="12.75">
      <c r="A5" s="313"/>
      <c r="B5" s="313"/>
      <c r="C5" s="313"/>
      <c r="D5" s="313"/>
      <c r="E5" s="313"/>
      <c r="F5" s="313"/>
      <c r="G5" s="313"/>
      <c r="H5" s="313"/>
    </row>
    <row r="6" spans="1:8" ht="12.75">
      <c r="A6" s="313"/>
      <c r="B6" s="313"/>
      <c r="C6" s="313"/>
      <c r="D6" s="313"/>
      <c r="E6" s="313"/>
      <c r="F6" s="313"/>
      <c r="G6" s="313"/>
      <c r="H6" s="313"/>
    </row>
    <row r="7" spans="1:8" ht="12.75">
      <c r="A7" s="313"/>
      <c r="B7" s="313"/>
      <c r="C7" s="313"/>
      <c r="D7" s="313"/>
      <c r="E7" s="313"/>
      <c r="F7" s="313"/>
      <c r="G7" s="313"/>
      <c r="H7" s="313"/>
    </row>
    <row r="8" spans="1:8" ht="12.75">
      <c r="A8" s="313"/>
      <c r="B8" s="313"/>
      <c r="C8" s="313"/>
      <c r="D8" s="313"/>
      <c r="E8" s="313"/>
      <c r="F8" s="313"/>
      <c r="G8" s="313"/>
      <c r="H8" s="313"/>
    </row>
    <row r="9" spans="1:8" ht="12.75">
      <c r="A9" s="313"/>
      <c r="B9" s="313"/>
      <c r="C9" s="313"/>
      <c r="D9" s="313"/>
      <c r="E9" s="313"/>
      <c r="F9" s="313"/>
      <c r="G9" s="313"/>
      <c r="H9" s="313"/>
    </row>
    <row r="10" spans="1:8" ht="12.75">
      <c r="A10" s="313"/>
      <c r="B10" s="313"/>
      <c r="C10" s="313"/>
      <c r="D10" s="313"/>
      <c r="E10" s="313"/>
      <c r="F10" s="313"/>
      <c r="G10" s="313"/>
      <c r="H10" s="313"/>
    </row>
    <row r="11" spans="1:8" ht="12.75">
      <c r="A11" s="313"/>
      <c r="B11" s="313"/>
      <c r="C11" s="313"/>
      <c r="D11" s="313"/>
      <c r="E11" s="313"/>
      <c r="F11" s="313"/>
      <c r="G11" s="313"/>
      <c r="H11" s="313"/>
    </row>
    <row r="12" spans="1:8" ht="12.75">
      <c r="A12" s="313"/>
      <c r="B12" s="313"/>
      <c r="C12" s="313"/>
      <c r="D12" s="313"/>
      <c r="E12" s="313"/>
      <c r="F12" s="313"/>
      <c r="G12" s="313"/>
      <c r="H12" s="313"/>
    </row>
    <row r="13" spans="1:8" ht="12.75">
      <c r="A13" s="313"/>
      <c r="B13" s="313"/>
      <c r="C13" s="313"/>
      <c r="D13" s="313"/>
      <c r="E13" s="313"/>
      <c r="F13" s="313"/>
      <c r="G13" s="313"/>
      <c r="H13" s="313"/>
    </row>
    <row r="14" spans="1:8" ht="12.75">
      <c r="A14" s="313"/>
      <c r="B14" s="313"/>
      <c r="C14" s="313"/>
      <c r="D14" s="313"/>
      <c r="E14" s="313"/>
      <c r="F14" s="313"/>
      <c r="G14" s="313"/>
      <c r="H14" s="313"/>
    </row>
    <row r="16" ht="12.75">
      <c r="A16" s="147" t="s">
        <v>45</v>
      </c>
    </row>
  </sheetData>
  <sheetProtection password="C539" sheet="1" objects="1" scenarios="1"/>
  <mergeCells count="1">
    <mergeCell ref="A1:H14"/>
  </mergeCells>
  <hyperlinks>
    <hyperlink ref="A16" location="'CALCULADORA TIPS Pesos E-10'!C2" display="Volver"/>
  </hyperlink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A1:S185"/>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59" sqref="E59"/>
    </sheetView>
  </sheetViews>
  <sheetFormatPr defaultColWidth="11.421875" defaultRowHeight="12.75"/>
  <cols>
    <col min="1" max="1" width="10.140625" style="155" bestFit="1" customWidth="1"/>
    <col min="2" max="3" width="21.140625" style="155" bestFit="1" customWidth="1"/>
    <col min="4" max="4" width="3.421875" style="155" customWidth="1"/>
    <col min="5" max="6" width="21.140625" style="155" bestFit="1" customWidth="1"/>
    <col min="7" max="7" width="3.421875" style="155" customWidth="1"/>
    <col min="8" max="9" width="21.140625" style="155" bestFit="1" customWidth="1"/>
    <col min="10" max="10" width="3.421875" style="155" customWidth="1"/>
    <col min="11" max="12" width="21.140625" style="155" bestFit="1" customWidth="1"/>
    <col min="13" max="13" width="3.421875" style="155" customWidth="1"/>
    <col min="14" max="15" width="21.140625" style="155" bestFit="1" customWidth="1"/>
    <col min="16" max="16" width="3.421875" style="155" customWidth="1"/>
    <col min="17" max="18" width="21.140625" style="155" bestFit="1" customWidth="1"/>
    <col min="19" max="16384" width="11.421875" style="155" customWidth="1"/>
  </cols>
  <sheetData>
    <row r="1" spans="1:18" ht="13.5" thickBot="1">
      <c r="A1" s="316" t="s">
        <v>0</v>
      </c>
      <c r="B1" s="314" t="s">
        <v>85</v>
      </c>
      <c r="C1" s="315"/>
      <c r="E1" s="314" t="s">
        <v>39</v>
      </c>
      <c r="F1" s="315"/>
      <c r="H1" s="314" t="s">
        <v>40</v>
      </c>
      <c r="I1" s="315"/>
      <c r="K1" s="314" t="s">
        <v>41</v>
      </c>
      <c r="L1" s="315"/>
      <c r="N1" s="314" t="s">
        <v>42</v>
      </c>
      <c r="O1" s="315"/>
      <c r="Q1" s="314" t="s">
        <v>86</v>
      </c>
      <c r="R1" s="315"/>
    </row>
    <row r="2" spans="1:18" ht="13.5" thickBot="1">
      <c r="A2" s="317"/>
      <c r="B2" s="248" t="str">
        <f>+Características!$B$1</f>
        <v>TIPS Pesos E-11 A 2019</v>
      </c>
      <c r="C2" s="249" t="str">
        <f>+Características!$C$1</f>
        <v>TIPS Pesos E-11 A 2024</v>
      </c>
      <c r="E2" s="243" t="str">
        <f>+Características!$B$1</f>
        <v>TIPS Pesos E-11 A 2019</v>
      </c>
      <c r="F2" s="244" t="str">
        <f>+Características!$C$1</f>
        <v>TIPS Pesos E-11 A 2024</v>
      </c>
      <c r="H2" s="243" t="str">
        <f>+Características!$B$1</f>
        <v>TIPS Pesos E-11 A 2019</v>
      </c>
      <c r="I2" s="244" t="str">
        <f>+Características!$C$1</f>
        <v>TIPS Pesos E-11 A 2024</v>
      </c>
      <c r="K2" s="243" t="str">
        <f>+Características!$B$1</f>
        <v>TIPS Pesos E-11 A 2019</v>
      </c>
      <c r="L2" s="244" t="str">
        <f>+Características!$C$1</f>
        <v>TIPS Pesos E-11 A 2024</v>
      </c>
      <c r="N2" s="243" t="str">
        <f>+Características!$B$1</f>
        <v>TIPS Pesos E-11 A 2019</v>
      </c>
      <c r="O2" s="244" t="str">
        <f>+Características!$C$1</f>
        <v>TIPS Pesos E-11 A 2024</v>
      </c>
      <c r="Q2" s="243" t="str">
        <f>+Características!$B$1</f>
        <v>TIPS Pesos E-11 A 2019</v>
      </c>
      <c r="R2" s="244" t="str">
        <f>+Características!$C$1</f>
        <v>TIPS Pesos E-11 A 2024</v>
      </c>
    </row>
    <row r="3" spans="1:18" ht="12.75">
      <c r="A3" s="246">
        <f>+_XLL.FECHA.MES(Características!B4,1)</f>
        <v>39977</v>
      </c>
      <c r="B3" s="245">
        <v>0.02682669</v>
      </c>
      <c r="C3" s="250">
        <v>0</v>
      </c>
      <c r="E3" s="123">
        <v>0.02682669</v>
      </c>
      <c r="F3" s="123">
        <v>0</v>
      </c>
      <c r="H3" s="123">
        <v>0.02682669</v>
      </c>
      <c r="I3" s="123">
        <v>0</v>
      </c>
      <c r="K3" s="123">
        <v>0.02682669</v>
      </c>
      <c r="L3" s="123">
        <v>0</v>
      </c>
      <c r="N3" s="123">
        <v>0.02682669</v>
      </c>
      <c r="O3" s="123">
        <v>0</v>
      </c>
      <c r="Q3" s="123">
        <v>0.02682669</v>
      </c>
      <c r="R3" s="123">
        <v>0</v>
      </c>
    </row>
    <row r="4" spans="1:18" ht="12.75">
      <c r="A4" s="246">
        <f aca="true" t="shared" si="0" ref="A4:A35">+_XLL.FECHA.MES(A3,1)</f>
        <v>40007</v>
      </c>
      <c r="B4" s="123">
        <v>0.02800073</v>
      </c>
      <c r="C4" s="251">
        <v>0</v>
      </c>
      <c r="E4" s="123">
        <v>0.02800073</v>
      </c>
      <c r="F4" s="123">
        <v>0</v>
      </c>
      <c r="H4" s="123">
        <v>0.02800073</v>
      </c>
      <c r="I4" s="123">
        <v>0</v>
      </c>
      <c r="K4" s="123">
        <v>0.02800073</v>
      </c>
      <c r="L4" s="123">
        <v>0</v>
      </c>
      <c r="N4" s="123">
        <v>0.02800073</v>
      </c>
      <c r="O4" s="123">
        <v>0</v>
      </c>
      <c r="Q4" s="123">
        <v>0.02800073</v>
      </c>
      <c r="R4" s="123">
        <v>0</v>
      </c>
    </row>
    <row r="5" spans="1:18" ht="12.75">
      <c r="A5" s="246">
        <f t="shared" si="0"/>
        <v>40038</v>
      </c>
      <c r="B5" s="123">
        <v>0.04305767</v>
      </c>
      <c r="C5" s="251">
        <v>0</v>
      </c>
      <c r="E5" s="123">
        <v>0.04305767</v>
      </c>
      <c r="F5" s="123">
        <v>0</v>
      </c>
      <c r="H5" s="123">
        <v>0.04305767</v>
      </c>
      <c r="I5" s="123">
        <v>0</v>
      </c>
      <c r="K5" s="123">
        <v>0.04305767</v>
      </c>
      <c r="L5" s="123">
        <v>0</v>
      </c>
      <c r="N5" s="123">
        <v>0.04305767</v>
      </c>
      <c r="O5" s="123">
        <v>0</v>
      </c>
      <c r="Q5" s="123">
        <v>0.04305767</v>
      </c>
      <c r="R5" s="123">
        <v>0</v>
      </c>
    </row>
    <row r="6" spans="1:18" ht="12.75">
      <c r="A6" s="246">
        <f t="shared" si="0"/>
        <v>40069</v>
      </c>
      <c r="B6" s="123">
        <v>0.03346972</v>
      </c>
      <c r="C6" s="251">
        <v>0</v>
      </c>
      <c r="E6" s="123">
        <v>0.03346972</v>
      </c>
      <c r="F6" s="123">
        <v>0</v>
      </c>
      <c r="H6" s="123">
        <v>0.03346972</v>
      </c>
      <c r="I6" s="123">
        <v>0</v>
      </c>
      <c r="K6" s="123">
        <v>0.03346972</v>
      </c>
      <c r="L6" s="123">
        <v>0</v>
      </c>
      <c r="N6" s="123">
        <v>0.03346972</v>
      </c>
      <c r="O6" s="123">
        <v>0</v>
      </c>
      <c r="Q6" s="123">
        <v>0.03346972</v>
      </c>
      <c r="R6" s="123">
        <v>0</v>
      </c>
    </row>
    <row r="7" spans="1:18" ht="12.75">
      <c r="A7" s="246">
        <f t="shared" si="0"/>
        <v>40099</v>
      </c>
      <c r="B7" s="123">
        <v>0.03449471</v>
      </c>
      <c r="C7" s="251">
        <v>0</v>
      </c>
      <c r="E7" s="123">
        <v>0.03449471</v>
      </c>
      <c r="F7" s="123">
        <v>0</v>
      </c>
      <c r="H7" s="123">
        <v>0.03449471</v>
      </c>
      <c r="I7" s="123">
        <v>0</v>
      </c>
      <c r="K7" s="123">
        <v>0.03449471</v>
      </c>
      <c r="L7" s="123">
        <v>0</v>
      </c>
      <c r="N7" s="123">
        <v>0.03449471</v>
      </c>
      <c r="O7" s="123">
        <v>0</v>
      </c>
      <c r="Q7" s="123">
        <v>0.03449471</v>
      </c>
      <c r="R7" s="123">
        <v>0</v>
      </c>
    </row>
    <row r="8" spans="1:18" ht="13.5" customHeight="1">
      <c r="A8" s="246">
        <f t="shared" si="0"/>
        <v>40130</v>
      </c>
      <c r="B8" s="123">
        <v>0.02747111</v>
      </c>
      <c r="C8" s="251">
        <v>0</v>
      </c>
      <c r="E8" s="123">
        <v>0.02747111</v>
      </c>
      <c r="F8" s="123">
        <v>0</v>
      </c>
      <c r="H8" s="123">
        <v>0.02747111</v>
      </c>
      <c r="I8" s="123">
        <v>0</v>
      </c>
      <c r="K8" s="123">
        <v>0.02747111</v>
      </c>
      <c r="L8" s="123">
        <v>0</v>
      </c>
      <c r="N8" s="123">
        <v>0.02747111</v>
      </c>
      <c r="O8" s="123">
        <v>0</v>
      </c>
      <c r="Q8" s="123">
        <v>0.02747111</v>
      </c>
      <c r="R8" s="123">
        <v>0</v>
      </c>
    </row>
    <row r="9" spans="1:18" ht="12.75">
      <c r="A9" s="246">
        <f t="shared" si="0"/>
        <v>40160</v>
      </c>
      <c r="B9" s="123">
        <v>0.03235722</v>
      </c>
      <c r="C9" s="251">
        <v>0</v>
      </c>
      <c r="E9" s="123">
        <v>0.03235722</v>
      </c>
      <c r="F9" s="123">
        <v>0</v>
      </c>
      <c r="H9" s="123">
        <v>0.03235722</v>
      </c>
      <c r="I9" s="123">
        <v>0</v>
      </c>
      <c r="K9" s="123">
        <v>0.03235722</v>
      </c>
      <c r="L9" s="123">
        <v>0</v>
      </c>
      <c r="N9" s="123">
        <v>0.03235722</v>
      </c>
      <c r="O9" s="123">
        <v>0</v>
      </c>
      <c r="Q9" s="123">
        <v>0.03235722</v>
      </c>
      <c r="R9" s="123">
        <v>0</v>
      </c>
    </row>
    <row r="10" spans="1:18" ht="12.75">
      <c r="A10" s="246">
        <f t="shared" si="0"/>
        <v>40191</v>
      </c>
      <c r="B10" s="123">
        <v>0.02891778</v>
      </c>
      <c r="C10" s="251">
        <v>0</v>
      </c>
      <c r="E10" s="123">
        <v>0.02891778</v>
      </c>
      <c r="F10" s="123">
        <v>0</v>
      </c>
      <c r="H10" s="123">
        <v>0.02891778</v>
      </c>
      <c r="I10" s="123">
        <v>0</v>
      </c>
      <c r="K10" s="123">
        <v>0.02891778</v>
      </c>
      <c r="L10" s="123">
        <v>0</v>
      </c>
      <c r="N10" s="123">
        <v>0.02891778</v>
      </c>
      <c r="O10" s="123">
        <v>0</v>
      </c>
      <c r="Q10" s="123">
        <v>0.02891778</v>
      </c>
      <c r="R10" s="123">
        <v>0</v>
      </c>
    </row>
    <row r="11" spans="1:18" ht="12.75">
      <c r="A11" s="246">
        <f t="shared" si="0"/>
        <v>40222</v>
      </c>
      <c r="B11" s="123">
        <v>0.03102511</v>
      </c>
      <c r="C11" s="251">
        <v>0</v>
      </c>
      <c r="E11" s="123">
        <v>0.03102511</v>
      </c>
      <c r="F11" s="123">
        <v>0</v>
      </c>
      <c r="H11" s="123">
        <v>0.03102511</v>
      </c>
      <c r="I11" s="123">
        <v>0</v>
      </c>
      <c r="K11" s="123">
        <v>0.03102511</v>
      </c>
      <c r="L11" s="123">
        <v>0</v>
      </c>
      <c r="N11" s="123">
        <v>0.03102511</v>
      </c>
      <c r="O11" s="123">
        <v>0</v>
      </c>
      <c r="Q11" s="123">
        <v>0.03102511</v>
      </c>
      <c r="R11" s="123">
        <v>0</v>
      </c>
    </row>
    <row r="12" spans="1:18" ht="12.75">
      <c r="A12" s="246">
        <f t="shared" si="0"/>
        <v>40250</v>
      </c>
      <c r="B12" s="123">
        <v>0.02526195</v>
      </c>
      <c r="C12" s="251">
        <v>0</v>
      </c>
      <c r="E12" s="123">
        <v>0.02526195</v>
      </c>
      <c r="F12" s="123">
        <v>0</v>
      </c>
      <c r="H12" s="123">
        <v>0.02526195</v>
      </c>
      <c r="I12" s="123">
        <v>0</v>
      </c>
      <c r="K12" s="123">
        <v>0.02526195</v>
      </c>
      <c r="L12" s="123">
        <v>0</v>
      </c>
      <c r="N12" s="123">
        <v>0.02526195</v>
      </c>
      <c r="O12" s="123">
        <v>0</v>
      </c>
      <c r="Q12" s="123">
        <v>0.02526195</v>
      </c>
      <c r="R12" s="123">
        <v>0</v>
      </c>
    </row>
    <row r="13" spans="1:18" ht="12.75">
      <c r="A13" s="246">
        <f t="shared" si="0"/>
        <v>40281</v>
      </c>
      <c r="B13" s="123">
        <v>0.02556696</v>
      </c>
      <c r="C13" s="251">
        <v>0</v>
      </c>
      <c r="E13" s="123">
        <v>0.02556696</v>
      </c>
      <c r="F13" s="123">
        <v>0</v>
      </c>
      <c r="H13" s="123">
        <v>0.02556696</v>
      </c>
      <c r="I13" s="123">
        <v>0</v>
      </c>
      <c r="K13" s="123">
        <v>0.02556696</v>
      </c>
      <c r="L13" s="123">
        <v>0</v>
      </c>
      <c r="N13" s="123">
        <v>0.02556696</v>
      </c>
      <c r="O13" s="123">
        <v>0</v>
      </c>
      <c r="Q13" s="123">
        <v>0.02556696</v>
      </c>
      <c r="R13" s="123">
        <v>0</v>
      </c>
    </row>
    <row r="14" spans="1:18" ht="12.75">
      <c r="A14" s="246">
        <f t="shared" si="0"/>
        <v>40311</v>
      </c>
      <c r="B14" s="123">
        <v>0.03378478</v>
      </c>
      <c r="C14" s="251">
        <v>0</v>
      </c>
      <c r="E14" s="123">
        <v>0.03378478</v>
      </c>
      <c r="F14" s="123">
        <v>0</v>
      </c>
      <c r="H14" s="123">
        <v>0.03378478</v>
      </c>
      <c r="I14" s="123">
        <v>0</v>
      </c>
      <c r="K14" s="123">
        <v>0.03378478</v>
      </c>
      <c r="L14" s="123">
        <v>0</v>
      </c>
      <c r="N14" s="123">
        <v>0.03378478</v>
      </c>
      <c r="O14" s="123">
        <v>0</v>
      </c>
      <c r="Q14" s="123">
        <v>0.03378478</v>
      </c>
      <c r="R14" s="123">
        <v>0</v>
      </c>
    </row>
    <row r="15" spans="1:18" ht="12.75">
      <c r="A15" s="246">
        <f t="shared" si="0"/>
        <v>40342</v>
      </c>
      <c r="B15" s="123">
        <v>0.02903332</v>
      </c>
      <c r="C15" s="251">
        <v>0</v>
      </c>
      <c r="E15" s="123">
        <v>0.02903332</v>
      </c>
      <c r="F15" s="123">
        <v>0</v>
      </c>
      <c r="H15" s="123">
        <v>0.02903332</v>
      </c>
      <c r="I15" s="123">
        <v>0</v>
      </c>
      <c r="K15" s="123">
        <v>0.02903332</v>
      </c>
      <c r="L15" s="123">
        <v>0</v>
      </c>
      <c r="N15" s="123">
        <v>0.02903332</v>
      </c>
      <c r="O15" s="123">
        <v>0</v>
      </c>
      <c r="Q15" s="123">
        <v>0.02903332</v>
      </c>
      <c r="R15" s="123">
        <v>0</v>
      </c>
    </row>
    <row r="16" spans="1:18" ht="12.75">
      <c r="A16" s="246">
        <f t="shared" si="0"/>
        <v>40372</v>
      </c>
      <c r="B16" s="123">
        <v>0.02205985</v>
      </c>
      <c r="C16" s="251">
        <v>0</v>
      </c>
      <c r="E16" s="123">
        <v>0.02205985</v>
      </c>
      <c r="F16" s="123">
        <v>0</v>
      </c>
      <c r="H16" s="123">
        <v>0.02205985</v>
      </c>
      <c r="I16" s="123">
        <v>0</v>
      </c>
      <c r="K16" s="123">
        <v>0.02205985</v>
      </c>
      <c r="L16" s="123">
        <v>0</v>
      </c>
      <c r="N16" s="123">
        <v>0.02205985</v>
      </c>
      <c r="O16" s="123">
        <v>0</v>
      </c>
      <c r="Q16" s="123">
        <v>0.02205985</v>
      </c>
      <c r="R16" s="123">
        <v>0</v>
      </c>
    </row>
    <row r="17" spans="1:18" ht="12.75">
      <c r="A17" s="246">
        <f t="shared" si="0"/>
        <v>40403</v>
      </c>
      <c r="B17" s="123">
        <v>0.03502364</v>
      </c>
      <c r="C17" s="251">
        <v>0</v>
      </c>
      <c r="E17" s="123">
        <v>0.03502364</v>
      </c>
      <c r="F17" s="123">
        <v>0</v>
      </c>
      <c r="H17" s="123">
        <v>0.03502364</v>
      </c>
      <c r="I17" s="123">
        <v>0</v>
      </c>
      <c r="K17" s="123">
        <v>0.03502364</v>
      </c>
      <c r="L17" s="123">
        <v>0</v>
      </c>
      <c r="N17" s="123">
        <v>0.03502364</v>
      </c>
      <c r="O17" s="123">
        <v>0</v>
      </c>
      <c r="Q17" s="123">
        <v>0.03502364</v>
      </c>
      <c r="R17" s="123">
        <v>0</v>
      </c>
    </row>
    <row r="18" spans="1:18" ht="12.75">
      <c r="A18" s="246">
        <f t="shared" si="0"/>
        <v>40434</v>
      </c>
      <c r="B18" s="123">
        <v>0.0267847</v>
      </c>
      <c r="C18" s="251">
        <v>0</v>
      </c>
      <c r="E18" s="123">
        <v>0.0267847</v>
      </c>
      <c r="F18" s="123">
        <v>0</v>
      </c>
      <c r="H18" s="123">
        <v>0.0267847</v>
      </c>
      <c r="I18" s="123">
        <v>0</v>
      </c>
      <c r="K18" s="123">
        <v>0.0267847</v>
      </c>
      <c r="L18" s="123">
        <v>0</v>
      </c>
      <c r="N18" s="123">
        <v>0.0267847</v>
      </c>
      <c r="O18" s="123">
        <v>0</v>
      </c>
      <c r="Q18" s="123">
        <v>0.0267847</v>
      </c>
      <c r="R18" s="123">
        <v>0</v>
      </c>
    </row>
    <row r="19" spans="1:18" ht="12.75">
      <c r="A19" s="246">
        <f t="shared" si="0"/>
        <v>40464</v>
      </c>
      <c r="B19" s="123">
        <v>0.0528789</v>
      </c>
      <c r="C19" s="251">
        <v>0</v>
      </c>
      <c r="E19" s="123">
        <v>0.0528789</v>
      </c>
      <c r="F19" s="123">
        <v>0</v>
      </c>
      <c r="H19" s="123">
        <v>0.0528789</v>
      </c>
      <c r="I19" s="123">
        <v>0</v>
      </c>
      <c r="K19" s="123">
        <v>0.0528789</v>
      </c>
      <c r="L19" s="123">
        <v>0</v>
      </c>
      <c r="N19" s="123">
        <v>0.0528789</v>
      </c>
      <c r="O19" s="123">
        <v>0</v>
      </c>
      <c r="Q19" s="123">
        <v>0.0528789</v>
      </c>
      <c r="R19" s="123">
        <v>0</v>
      </c>
    </row>
    <row r="20" spans="1:18" ht="12.75">
      <c r="A20" s="246">
        <f t="shared" si="0"/>
        <v>40495</v>
      </c>
      <c r="B20" s="123">
        <v>0.08443977</v>
      </c>
      <c r="C20" s="251">
        <v>0</v>
      </c>
      <c r="E20" s="123">
        <v>0.08443977</v>
      </c>
      <c r="F20" s="123">
        <v>0</v>
      </c>
      <c r="H20" s="123">
        <v>0.08443977</v>
      </c>
      <c r="I20" s="123">
        <v>0</v>
      </c>
      <c r="K20" s="123">
        <v>0.08443977</v>
      </c>
      <c r="L20" s="123">
        <v>0</v>
      </c>
      <c r="N20" s="123">
        <v>0.08443977</v>
      </c>
      <c r="O20" s="123">
        <v>0</v>
      </c>
      <c r="Q20" s="123">
        <v>0.08443977</v>
      </c>
      <c r="R20" s="123">
        <v>0</v>
      </c>
    </row>
    <row r="21" spans="1:18" ht="12.75">
      <c r="A21" s="246">
        <f t="shared" si="0"/>
        <v>40525</v>
      </c>
      <c r="B21" s="123">
        <v>0.07016442</v>
      </c>
      <c r="C21" s="251">
        <v>0</v>
      </c>
      <c r="E21" s="123">
        <v>0.07016442</v>
      </c>
      <c r="F21" s="123">
        <v>0</v>
      </c>
      <c r="H21" s="123">
        <v>0.07016442</v>
      </c>
      <c r="I21" s="123">
        <v>0</v>
      </c>
      <c r="K21" s="123">
        <v>0.07016442</v>
      </c>
      <c r="L21" s="123">
        <v>0</v>
      </c>
      <c r="N21" s="123">
        <v>0.07016442</v>
      </c>
      <c r="O21" s="123">
        <v>0</v>
      </c>
      <c r="Q21" s="123">
        <v>0.07016442</v>
      </c>
      <c r="R21" s="123">
        <v>0</v>
      </c>
    </row>
    <row r="22" spans="1:18" ht="12.75">
      <c r="A22" s="246">
        <f t="shared" si="0"/>
        <v>40556</v>
      </c>
      <c r="B22" s="123">
        <v>0.06887878</v>
      </c>
      <c r="C22" s="251">
        <v>0</v>
      </c>
      <c r="E22" s="123">
        <v>0.06887878</v>
      </c>
      <c r="F22" s="123">
        <v>0</v>
      </c>
      <c r="H22" s="123">
        <v>0.06887878</v>
      </c>
      <c r="I22" s="123">
        <v>0</v>
      </c>
      <c r="K22" s="123">
        <v>0.06887878</v>
      </c>
      <c r="L22" s="123">
        <v>0</v>
      </c>
      <c r="N22" s="123">
        <v>0.06887878</v>
      </c>
      <c r="O22" s="123">
        <v>0</v>
      </c>
      <c r="Q22" s="123">
        <v>0.06887878</v>
      </c>
      <c r="R22" s="123">
        <v>0</v>
      </c>
    </row>
    <row r="23" spans="1:18" ht="12.75">
      <c r="A23" s="246">
        <f t="shared" si="0"/>
        <v>40587</v>
      </c>
      <c r="B23" s="123">
        <v>0.0303509</v>
      </c>
      <c r="C23" s="251">
        <v>0</v>
      </c>
      <c r="E23" s="123">
        <v>0.0303509</v>
      </c>
      <c r="F23" s="123">
        <v>0</v>
      </c>
      <c r="H23" s="123">
        <v>0.0303509</v>
      </c>
      <c r="I23" s="123">
        <v>0</v>
      </c>
      <c r="K23" s="123">
        <v>0.0303509</v>
      </c>
      <c r="L23" s="123">
        <v>0</v>
      </c>
      <c r="N23" s="123">
        <v>0.0303509</v>
      </c>
      <c r="O23" s="123">
        <v>0</v>
      </c>
      <c r="Q23" s="123">
        <v>0.0303509</v>
      </c>
      <c r="R23" s="123">
        <v>0</v>
      </c>
    </row>
    <row r="24" spans="1:18" ht="12.75">
      <c r="A24" s="246">
        <f t="shared" si="0"/>
        <v>40615</v>
      </c>
      <c r="B24" s="123">
        <v>0.03228024</v>
      </c>
      <c r="C24" s="251">
        <v>0</v>
      </c>
      <c r="E24" s="123">
        <v>0.03228024</v>
      </c>
      <c r="F24" s="123">
        <v>0</v>
      </c>
      <c r="H24" s="123">
        <v>0.03228024</v>
      </c>
      <c r="I24" s="123">
        <v>0</v>
      </c>
      <c r="K24" s="123">
        <v>0.03228024</v>
      </c>
      <c r="L24" s="123">
        <v>0</v>
      </c>
      <c r="N24" s="123">
        <v>0.03228024</v>
      </c>
      <c r="O24" s="123">
        <v>0</v>
      </c>
      <c r="Q24" s="123">
        <v>0.03228024</v>
      </c>
      <c r="R24" s="123">
        <v>0</v>
      </c>
    </row>
    <row r="25" spans="1:18" ht="12.75">
      <c r="A25" s="246">
        <f t="shared" si="0"/>
        <v>40646</v>
      </c>
      <c r="B25" s="123">
        <v>0.02848959</v>
      </c>
      <c r="C25" s="251">
        <v>0</v>
      </c>
      <c r="E25" s="123">
        <v>0.02848959</v>
      </c>
      <c r="F25" s="123">
        <v>0</v>
      </c>
      <c r="H25" s="123">
        <v>0.02848959</v>
      </c>
      <c r="I25" s="123">
        <v>0</v>
      </c>
      <c r="K25" s="123">
        <v>0.02848959</v>
      </c>
      <c r="L25" s="123">
        <v>0</v>
      </c>
      <c r="N25" s="123">
        <v>0.02848959</v>
      </c>
      <c r="O25" s="123">
        <v>0</v>
      </c>
      <c r="Q25" s="123">
        <v>0.02848959</v>
      </c>
      <c r="R25" s="123">
        <v>0</v>
      </c>
    </row>
    <row r="26" spans="1:18" ht="12.75">
      <c r="A26" s="246">
        <f t="shared" si="0"/>
        <v>40676</v>
      </c>
      <c r="B26" s="123">
        <v>0.02834801</v>
      </c>
      <c r="C26" s="251">
        <v>0</v>
      </c>
      <c r="E26" s="123">
        <v>0.02834801</v>
      </c>
      <c r="F26" s="123">
        <v>0</v>
      </c>
      <c r="H26" s="123">
        <v>0.02834801</v>
      </c>
      <c r="I26" s="123">
        <v>0</v>
      </c>
      <c r="K26" s="123">
        <v>0.02834801</v>
      </c>
      <c r="L26" s="123">
        <v>0</v>
      </c>
      <c r="N26" s="123">
        <v>0.02834801</v>
      </c>
      <c r="O26" s="123">
        <v>0</v>
      </c>
      <c r="Q26" s="123">
        <v>0.02834801</v>
      </c>
      <c r="R26" s="123">
        <v>0</v>
      </c>
    </row>
    <row r="27" spans="1:18" ht="12.75">
      <c r="A27" s="246">
        <f t="shared" si="0"/>
        <v>40707</v>
      </c>
      <c r="B27" s="123">
        <v>0.02210602</v>
      </c>
      <c r="C27" s="251">
        <v>0</v>
      </c>
      <c r="E27" s="123">
        <v>0.02210602</v>
      </c>
      <c r="F27" s="123">
        <v>0</v>
      </c>
      <c r="H27" s="123">
        <v>0.02210602</v>
      </c>
      <c r="I27" s="123">
        <v>0</v>
      </c>
      <c r="K27" s="123">
        <v>0.02210602</v>
      </c>
      <c r="L27" s="123">
        <v>0</v>
      </c>
      <c r="N27" s="123">
        <v>0.02210602</v>
      </c>
      <c r="O27" s="123">
        <v>0</v>
      </c>
      <c r="Q27" s="123">
        <v>0.02210602</v>
      </c>
      <c r="R27" s="123">
        <v>0</v>
      </c>
    </row>
    <row r="28" spans="1:18" ht="12.75">
      <c r="A28" s="246">
        <f t="shared" si="0"/>
        <v>40737</v>
      </c>
      <c r="B28" s="123">
        <v>0.02949235</v>
      </c>
      <c r="C28" s="251">
        <v>0</v>
      </c>
      <c r="E28" s="123">
        <v>0.02949235</v>
      </c>
      <c r="F28" s="123">
        <v>0</v>
      </c>
      <c r="H28" s="123">
        <v>0.02949235</v>
      </c>
      <c r="I28" s="123">
        <v>0</v>
      </c>
      <c r="K28" s="123">
        <v>0.02949235</v>
      </c>
      <c r="L28" s="123">
        <v>0</v>
      </c>
      <c r="N28" s="123">
        <v>0.02949235</v>
      </c>
      <c r="O28" s="123">
        <v>0</v>
      </c>
      <c r="Q28" s="123">
        <v>0.02949235</v>
      </c>
      <c r="R28" s="123">
        <v>0</v>
      </c>
    </row>
    <row r="29" spans="1:18" ht="12.75">
      <c r="A29" s="246">
        <f t="shared" si="0"/>
        <v>40768</v>
      </c>
      <c r="B29" s="123">
        <v>0.02276454</v>
      </c>
      <c r="C29" s="251">
        <v>0</v>
      </c>
      <c r="E29" s="123">
        <v>0.02276454</v>
      </c>
      <c r="F29" s="123">
        <v>0</v>
      </c>
      <c r="H29" s="123">
        <v>0.02276454</v>
      </c>
      <c r="I29" s="123">
        <v>0</v>
      </c>
      <c r="K29" s="123">
        <v>0.02276454</v>
      </c>
      <c r="L29" s="123">
        <v>0</v>
      </c>
      <c r="N29" s="123">
        <v>0.02276454</v>
      </c>
      <c r="O29" s="123">
        <v>0</v>
      </c>
      <c r="Q29" s="123">
        <v>0.02276454</v>
      </c>
      <c r="R29" s="123">
        <v>0</v>
      </c>
    </row>
    <row r="30" spans="1:18" ht="12.75">
      <c r="A30" s="246">
        <f t="shared" si="0"/>
        <v>40799</v>
      </c>
      <c r="B30" s="123">
        <v>0.016884</v>
      </c>
      <c r="C30" s="251">
        <v>0</v>
      </c>
      <c r="E30" s="123">
        <v>0.016884</v>
      </c>
      <c r="F30" s="123">
        <v>0</v>
      </c>
      <c r="H30" s="123">
        <v>0.016884</v>
      </c>
      <c r="I30" s="123">
        <v>0</v>
      </c>
      <c r="K30" s="123">
        <v>0.016884</v>
      </c>
      <c r="L30" s="123">
        <v>0</v>
      </c>
      <c r="N30" s="123">
        <v>0.016884</v>
      </c>
      <c r="O30" s="123">
        <v>0</v>
      </c>
      <c r="Q30" s="123">
        <v>0.016884</v>
      </c>
      <c r="R30" s="123">
        <v>0</v>
      </c>
    </row>
    <row r="31" spans="1:18" ht="12.75">
      <c r="A31" s="246">
        <f t="shared" si="0"/>
        <v>40829</v>
      </c>
      <c r="B31" s="123">
        <v>0.02105983</v>
      </c>
      <c r="C31" s="251">
        <v>0</v>
      </c>
      <c r="E31" s="123">
        <v>0.02105983</v>
      </c>
      <c r="F31" s="123">
        <v>0</v>
      </c>
      <c r="H31" s="123">
        <v>0.02105983</v>
      </c>
      <c r="I31" s="123">
        <v>0</v>
      </c>
      <c r="K31" s="123">
        <v>0.02105983</v>
      </c>
      <c r="L31" s="123">
        <v>0</v>
      </c>
      <c r="N31" s="123">
        <v>0.02105983</v>
      </c>
      <c r="O31" s="123">
        <v>0</v>
      </c>
      <c r="Q31" s="123">
        <v>0.02105983</v>
      </c>
      <c r="R31" s="123">
        <v>0</v>
      </c>
    </row>
    <row r="32" spans="1:18" ht="12.75">
      <c r="A32" s="246">
        <f t="shared" si="0"/>
        <v>40860</v>
      </c>
      <c r="B32" s="123">
        <v>0.00872671</v>
      </c>
      <c r="C32" s="251">
        <v>0.02718619</v>
      </c>
      <c r="E32" s="123">
        <v>0.00872671</v>
      </c>
      <c r="F32" s="123">
        <v>0.02718619</v>
      </c>
      <c r="H32" s="123">
        <v>0.00872671</v>
      </c>
      <c r="I32" s="123">
        <v>0.02718619</v>
      </c>
      <c r="K32" s="123">
        <v>0.00872671</v>
      </c>
      <c r="L32" s="123">
        <v>0.02718619</v>
      </c>
      <c r="N32" s="123">
        <v>0.00872671</v>
      </c>
      <c r="O32" s="123">
        <v>0.02718619</v>
      </c>
      <c r="Q32" s="123">
        <v>0.00872671</v>
      </c>
      <c r="R32" s="123">
        <v>0.02718619</v>
      </c>
    </row>
    <row r="33" spans="1:18" ht="12.75">
      <c r="A33" s="246">
        <f t="shared" si="0"/>
        <v>40890</v>
      </c>
      <c r="B33" s="123">
        <v>0</v>
      </c>
      <c r="C33" s="251">
        <v>0.04341103</v>
      </c>
      <c r="E33" s="123">
        <v>0</v>
      </c>
      <c r="F33" s="123">
        <v>0.04341103</v>
      </c>
      <c r="H33" s="123">
        <v>0</v>
      </c>
      <c r="I33" s="123">
        <v>0.04341103</v>
      </c>
      <c r="K33" s="123">
        <v>0</v>
      </c>
      <c r="L33" s="123">
        <v>0.04341103</v>
      </c>
      <c r="N33" s="123">
        <v>0</v>
      </c>
      <c r="O33" s="123">
        <v>0.04341103</v>
      </c>
      <c r="Q33" s="123">
        <v>0</v>
      </c>
      <c r="R33" s="123">
        <v>0.04341103</v>
      </c>
    </row>
    <row r="34" spans="1:18" ht="12.75">
      <c r="A34" s="246">
        <f t="shared" si="0"/>
        <v>40921</v>
      </c>
      <c r="B34" s="123">
        <v>0</v>
      </c>
      <c r="C34" s="251">
        <v>0.04538846</v>
      </c>
      <c r="E34" s="123">
        <v>0</v>
      </c>
      <c r="F34" s="123">
        <v>0.04538846</v>
      </c>
      <c r="H34" s="123">
        <v>0</v>
      </c>
      <c r="I34" s="123">
        <v>0.04538846</v>
      </c>
      <c r="K34" s="123">
        <v>0</v>
      </c>
      <c r="L34" s="123">
        <v>0.04538846</v>
      </c>
      <c r="N34" s="123">
        <v>0</v>
      </c>
      <c r="O34" s="123">
        <v>0.04538846</v>
      </c>
      <c r="Q34" s="123">
        <v>0</v>
      </c>
      <c r="R34" s="123">
        <v>0.04538846</v>
      </c>
    </row>
    <row r="35" spans="1:18" ht="12.75">
      <c r="A35" s="246">
        <f t="shared" si="0"/>
        <v>40952</v>
      </c>
      <c r="B35" s="123">
        <v>0</v>
      </c>
      <c r="C35" s="251">
        <v>0.03897381</v>
      </c>
      <c r="E35" s="123">
        <v>0</v>
      </c>
      <c r="F35" s="123">
        <v>0.03897381</v>
      </c>
      <c r="H35" s="123">
        <v>0</v>
      </c>
      <c r="I35" s="123">
        <v>0.03897381</v>
      </c>
      <c r="K35" s="123">
        <v>0</v>
      </c>
      <c r="L35" s="123">
        <v>0.03897381</v>
      </c>
      <c r="N35" s="123">
        <v>0</v>
      </c>
      <c r="O35" s="123">
        <v>0.03897381</v>
      </c>
      <c r="Q35" s="123">
        <v>0</v>
      </c>
      <c r="R35" s="123">
        <v>0.03897381</v>
      </c>
    </row>
    <row r="36" spans="1:18" ht="12.75">
      <c r="A36" s="246">
        <f aca="true" t="shared" si="1" ref="A36:A67">+_XLL.FECHA.MES(A35,1)</f>
        <v>40981</v>
      </c>
      <c r="B36" s="123">
        <v>0</v>
      </c>
      <c r="C36" s="251">
        <v>0.06079499</v>
      </c>
      <c r="E36" s="123">
        <v>0</v>
      </c>
      <c r="F36" s="123">
        <v>0.06079499</v>
      </c>
      <c r="H36" s="123">
        <v>0</v>
      </c>
      <c r="I36" s="123">
        <v>0.06079499</v>
      </c>
      <c r="K36" s="123">
        <v>0</v>
      </c>
      <c r="L36" s="123">
        <v>0.06079499</v>
      </c>
      <c r="N36" s="123">
        <v>0</v>
      </c>
      <c r="O36" s="123">
        <v>0.06079499</v>
      </c>
      <c r="Q36" s="123">
        <v>0</v>
      </c>
      <c r="R36" s="123">
        <v>0.06079499</v>
      </c>
    </row>
    <row r="37" spans="1:18" ht="12.75">
      <c r="A37" s="246">
        <f t="shared" si="1"/>
        <v>41012</v>
      </c>
      <c r="B37" s="123">
        <v>0</v>
      </c>
      <c r="C37" s="251">
        <v>0.04681521</v>
      </c>
      <c r="E37" s="123">
        <v>0</v>
      </c>
      <c r="F37" s="123">
        <v>0.04681521</v>
      </c>
      <c r="H37" s="123">
        <v>0</v>
      </c>
      <c r="I37" s="123">
        <v>0.04681521</v>
      </c>
      <c r="K37" s="123">
        <v>0</v>
      </c>
      <c r="L37" s="123">
        <v>0.04681521</v>
      </c>
      <c r="N37" s="123">
        <v>0</v>
      </c>
      <c r="O37" s="123">
        <v>0.04681521</v>
      </c>
      <c r="Q37" s="123">
        <v>0</v>
      </c>
      <c r="R37" s="123">
        <v>0.04681521</v>
      </c>
    </row>
    <row r="38" spans="1:18" ht="12.75">
      <c r="A38" s="246">
        <f t="shared" si="1"/>
        <v>41042</v>
      </c>
      <c r="B38" s="123">
        <v>0</v>
      </c>
      <c r="C38" s="251">
        <v>0.04387295</v>
      </c>
      <c r="E38" s="123">
        <v>0</v>
      </c>
      <c r="F38" s="123">
        <v>0.04387295</v>
      </c>
      <c r="H38" s="123">
        <v>0</v>
      </c>
      <c r="I38" s="123">
        <v>0.04387295</v>
      </c>
      <c r="K38" s="123">
        <v>0</v>
      </c>
      <c r="L38" s="123">
        <v>0.04387295</v>
      </c>
      <c r="N38" s="123">
        <v>0</v>
      </c>
      <c r="O38" s="123">
        <v>0.04387295</v>
      </c>
      <c r="Q38" s="123">
        <v>0</v>
      </c>
      <c r="R38" s="123">
        <v>0.04387295</v>
      </c>
    </row>
    <row r="39" spans="1:18" ht="12.75">
      <c r="A39" s="246">
        <f t="shared" si="1"/>
        <v>41073</v>
      </c>
      <c r="B39" s="123">
        <v>0</v>
      </c>
      <c r="C39" s="251">
        <v>0.04902516</v>
      </c>
      <c r="E39" s="123">
        <v>0</v>
      </c>
      <c r="F39" s="123">
        <v>0.04902516</v>
      </c>
      <c r="H39" s="123">
        <v>0</v>
      </c>
      <c r="I39" s="123">
        <v>0.04902516</v>
      </c>
      <c r="K39" s="123">
        <v>0</v>
      </c>
      <c r="L39" s="123">
        <v>0.04902516</v>
      </c>
      <c r="N39" s="123">
        <v>0</v>
      </c>
      <c r="O39" s="123">
        <v>0.04902516</v>
      </c>
      <c r="Q39" s="123">
        <v>0</v>
      </c>
      <c r="R39" s="123">
        <v>0.04902516</v>
      </c>
    </row>
    <row r="40" spans="1:18" ht="12.75">
      <c r="A40" s="246">
        <f t="shared" si="1"/>
        <v>41103</v>
      </c>
      <c r="B40" s="265">
        <v>0</v>
      </c>
      <c r="C40" s="266">
        <v>0.04531415</v>
      </c>
      <c r="E40" s="267">
        <v>0</v>
      </c>
      <c r="F40" s="267">
        <v>0.04531415</v>
      </c>
      <c r="G40" s="268"/>
      <c r="H40" s="267">
        <v>0</v>
      </c>
      <c r="I40" s="267">
        <v>0.04531415</v>
      </c>
      <c r="J40" s="268"/>
      <c r="K40" s="267">
        <v>0</v>
      </c>
      <c r="L40" s="267">
        <v>0.04531415</v>
      </c>
      <c r="M40" s="268"/>
      <c r="N40" s="267">
        <v>0</v>
      </c>
      <c r="O40" s="267">
        <v>0.04531415</v>
      </c>
      <c r="P40" s="268"/>
      <c r="Q40" s="267">
        <v>0</v>
      </c>
      <c r="R40" s="267">
        <v>0.04531415</v>
      </c>
    </row>
    <row r="41" spans="1:18" ht="12.75">
      <c r="A41" s="246">
        <f t="shared" si="1"/>
        <v>41134</v>
      </c>
      <c r="B41" s="265">
        <v>0</v>
      </c>
      <c r="C41" s="266">
        <v>0.04071745</v>
      </c>
      <c r="E41" s="267">
        <v>0</v>
      </c>
      <c r="F41" s="267">
        <v>0.04071745</v>
      </c>
      <c r="G41" s="269"/>
      <c r="H41" s="267">
        <v>0</v>
      </c>
      <c r="I41" s="267">
        <v>0.04071745</v>
      </c>
      <c r="J41" s="269"/>
      <c r="K41" s="267">
        <v>0</v>
      </c>
      <c r="L41" s="267">
        <v>0.04071745</v>
      </c>
      <c r="M41" s="269"/>
      <c r="N41" s="267">
        <v>0</v>
      </c>
      <c r="O41" s="267">
        <v>0.04071745</v>
      </c>
      <c r="P41" s="269"/>
      <c r="Q41" s="267">
        <v>0</v>
      </c>
      <c r="R41" s="267">
        <v>0.04071745</v>
      </c>
    </row>
    <row r="42" spans="1:18" ht="12.75">
      <c r="A42" s="246">
        <f t="shared" si="1"/>
        <v>41165</v>
      </c>
      <c r="B42" s="265">
        <v>0</v>
      </c>
      <c r="C42" s="266">
        <v>0.05152687</v>
      </c>
      <c r="E42" s="267">
        <v>0</v>
      </c>
      <c r="F42" s="267">
        <v>0.05152687</v>
      </c>
      <c r="G42" s="269"/>
      <c r="H42" s="267">
        <v>0</v>
      </c>
      <c r="I42" s="267">
        <v>0.05152687</v>
      </c>
      <c r="J42" s="269"/>
      <c r="K42" s="267">
        <v>0</v>
      </c>
      <c r="L42" s="267">
        <v>0.05152687</v>
      </c>
      <c r="M42" s="269"/>
      <c r="N42" s="267">
        <v>0</v>
      </c>
      <c r="O42" s="267">
        <v>0.05152687</v>
      </c>
      <c r="P42" s="269"/>
      <c r="Q42" s="267">
        <v>0</v>
      </c>
      <c r="R42" s="267">
        <v>0.05152687</v>
      </c>
    </row>
    <row r="43" spans="1:18" ht="12.75">
      <c r="A43" s="246">
        <f t="shared" si="1"/>
        <v>41195</v>
      </c>
      <c r="B43" s="265">
        <v>0</v>
      </c>
      <c r="C43" s="266">
        <v>0.0442531</v>
      </c>
      <c r="E43" s="267">
        <v>0</v>
      </c>
      <c r="F43" s="267">
        <v>0.0442531</v>
      </c>
      <c r="G43" s="270"/>
      <c r="H43" s="267">
        <v>0</v>
      </c>
      <c r="I43" s="267">
        <v>0.0442531</v>
      </c>
      <c r="J43" s="270"/>
      <c r="K43" s="267">
        <v>0</v>
      </c>
      <c r="L43" s="267">
        <v>0.0442531</v>
      </c>
      <c r="M43" s="270"/>
      <c r="N43" s="267">
        <v>0</v>
      </c>
      <c r="O43" s="267">
        <v>0.0442531</v>
      </c>
      <c r="P43" s="270"/>
      <c r="Q43" s="267">
        <v>0</v>
      </c>
      <c r="R43" s="267">
        <v>0.0442531</v>
      </c>
    </row>
    <row r="44" spans="1:18" ht="12.75">
      <c r="A44" s="246">
        <f t="shared" si="1"/>
        <v>41226</v>
      </c>
      <c r="B44" s="265">
        <v>0</v>
      </c>
      <c r="C44" s="266">
        <v>0.03483242</v>
      </c>
      <c r="E44" s="267">
        <v>0</v>
      </c>
      <c r="F44" s="267">
        <v>0.03483242</v>
      </c>
      <c r="G44" s="271"/>
      <c r="H44" s="267">
        <v>0</v>
      </c>
      <c r="I44" s="267">
        <v>0.03483242</v>
      </c>
      <c r="J44" s="271"/>
      <c r="K44" s="267">
        <v>0</v>
      </c>
      <c r="L44" s="267">
        <v>0.03483242</v>
      </c>
      <c r="M44" s="271"/>
      <c r="N44" s="267">
        <v>0</v>
      </c>
      <c r="O44" s="267">
        <v>0.03483242</v>
      </c>
      <c r="P44" s="271"/>
      <c r="Q44" s="267">
        <v>0</v>
      </c>
      <c r="R44" s="267">
        <v>0.03483242</v>
      </c>
    </row>
    <row r="45" spans="1:18" ht="12.75">
      <c r="A45" s="246">
        <f t="shared" si="1"/>
        <v>41256</v>
      </c>
      <c r="B45" s="265">
        <v>0</v>
      </c>
      <c r="C45" s="266">
        <v>0.05490163</v>
      </c>
      <c r="E45" s="267">
        <v>0</v>
      </c>
      <c r="F45" s="267">
        <v>0.05490163</v>
      </c>
      <c r="G45" s="270"/>
      <c r="H45" s="267">
        <v>0</v>
      </c>
      <c r="I45" s="267">
        <v>0.05490163</v>
      </c>
      <c r="J45" s="270"/>
      <c r="K45" s="267">
        <v>0</v>
      </c>
      <c r="L45" s="267">
        <v>0.05490163</v>
      </c>
      <c r="M45" s="270"/>
      <c r="N45" s="267">
        <v>0</v>
      </c>
      <c r="O45" s="267">
        <v>0.05490163</v>
      </c>
      <c r="P45" s="270"/>
      <c r="Q45" s="267">
        <v>0</v>
      </c>
      <c r="R45" s="267">
        <v>0.05490163</v>
      </c>
    </row>
    <row r="46" spans="1:18" ht="12.75">
      <c r="A46" s="246">
        <f t="shared" si="1"/>
        <v>41287</v>
      </c>
      <c r="B46" s="265">
        <v>0</v>
      </c>
      <c r="C46" s="266">
        <v>0.04231971</v>
      </c>
      <c r="E46" s="267">
        <v>0</v>
      </c>
      <c r="F46" s="267">
        <v>0.04231971</v>
      </c>
      <c r="G46" s="270"/>
      <c r="H46" s="267">
        <v>0</v>
      </c>
      <c r="I46" s="267">
        <v>0.04231971</v>
      </c>
      <c r="J46" s="270"/>
      <c r="K46" s="267">
        <v>0</v>
      </c>
      <c r="L46" s="267">
        <v>0.04231971</v>
      </c>
      <c r="M46" s="270"/>
      <c r="N46" s="267">
        <v>0</v>
      </c>
      <c r="O46" s="267">
        <v>0.04231971</v>
      </c>
      <c r="P46" s="270"/>
      <c r="Q46" s="267">
        <v>0</v>
      </c>
      <c r="R46" s="267">
        <v>0.04231971</v>
      </c>
    </row>
    <row r="47" spans="1:18" ht="12.75">
      <c r="A47" s="246">
        <f t="shared" si="1"/>
        <v>41318</v>
      </c>
      <c r="B47" s="265">
        <v>0</v>
      </c>
      <c r="C47" s="266">
        <v>0.04261362</v>
      </c>
      <c r="E47" s="267">
        <v>0</v>
      </c>
      <c r="F47" s="267">
        <v>0.04261362</v>
      </c>
      <c r="G47" s="271"/>
      <c r="H47" s="267">
        <v>0</v>
      </c>
      <c r="I47" s="267">
        <v>0.04261362</v>
      </c>
      <c r="J47" s="271"/>
      <c r="K47" s="267">
        <v>0</v>
      </c>
      <c r="L47" s="267">
        <v>0.04261362</v>
      </c>
      <c r="M47" s="271"/>
      <c r="N47" s="267">
        <v>0</v>
      </c>
      <c r="O47" s="267">
        <v>0.04261362</v>
      </c>
      <c r="P47" s="271"/>
      <c r="Q47" s="267">
        <v>0</v>
      </c>
      <c r="R47" s="267">
        <v>0.04261362</v>
      </c>
    </row>
    <row r="48" spans="1:18" ht="12.75">
      <c r="A48" s="246">
        <f t="shared" si="1"/>
        <v>41346</v>
      </c>
      <c r="B48" s="265">
        <v>0</v>
      </c>
      <c r="C48" s="266">
        <v>0.0384477</v>
      </c>
      <c r="E48" s="267">
        <v>0</v>
      </c>
      <c r="F48" s="267">
        <v>0.0384477</v>
      </c>
      <c r="G48" s="270"/>
      <c r="H48" s="267">
        <v>0</v>
      </c>
      <c r="I48" s="267">
        <v>0.0384477</v>
      </c>
      <c r="J48" s="270"/>
      <c r="K48" s="267">
        <v>0</v>
      </c>
      <c r="L48" s="267">
        <v>0.0384477</v>
      </c>
      <c r="M48" s="270"/>
      <c r="N48" s="267">
        <v>0</v>
      </c>
      <c r="O48" s="267">
        <v>0.0384477</v>
      </c>
      <c r="P48" s="270"/>
      <c r="Q48" s="267">
        <v>0</v>
      </c>
      <c r="R48" s="267">
        <v>0.0384477</v>
      </c>
    </row>
    <row r="49" spans="1:18" ht="12.75">
      <c r="A49" s="246">
        <f t="shared" si="1"/>
        <v>41377</v>
      </c>
      <c r="B49" s="265">
        <v>0</v>
      </c>
      <c r="C49" s="266">
        <v>0.03692092</v>
      </c>
      <c r="E49" s="267">
        <v>0</v>
      </c>
      <c r="F49" s="267">
        <v>0.03692092</v>
      </c>
      <c r="G49" s="271"/>
      <c r="H49" s="267">
        <v>0</v>
      </c>
      <c r="I49" s="267">
        <v>0.03692092</v>
      </c>
      <c r="J49" s="271"/>
      <c r="K49" s="267">
        <v>0</v>
      </c>
      <c r="L49" s="267">
        <v>0.03692092</v>
      </c>
      <c r="M49" s="271"/>
      <c r="N49" s="267">
        <v>0</v>
      </c>
      <c r="O49" s="267">
        <v>0.03692092</v>
      </c>
      <c r="P49" s="271"/>
      <c r="Q49" s="267">
        <v>0</v>
      </c>
      <c r="R49" s="267">
        <v>0.03692092</v>
      </c>
    </row>
    <row r="50" spans="1:18" ht="12.75">
      <c r="A50" s="246">
        <f t="shared" si="1"/>
        <v>41407</v>
      </c>
      <c r="B50" s="265">
        <v>0</v>
      </c>
      <c r="C50" s="266">
        <v>0.0447699</v>
      </c>
      <c r="E50" s="267">
        <v>0</v>
      </c>
      <c r="F50" s="267">
        <v>0.0447699</v>
      </c>
      <c r="G50" s="270"/>
      <c r="H50" s="267">
        <v>0</v>
      </c>
      <c r="I50" s="267">
        <v>0.0447699</v>
      </c>
      <c r="J50" s="270"/>
      <c r="K50" s="267">
        <v>0</v>
      </c>
      <c r="L50" s="267">
        <v>0.0447699</v>
      </c>
      <c r="M50" s="270"/>
      <c r="N50" s="267">
        <v>0</v>
      </c>
      <c r="O50" s="267">
        <v>0.0447699</v>
      </c>
      <c r="P50" s="270"/>
      <c r="Q50" s="267">
        <v>0</v>
      </c>
      <c r="R50" s="267">
        <v>0.0447699</v>
      </c>
    </row>
    <row r="51" spans="1:18" ht="12.75">
      <c r="A51" s="246">
        <f t="shared" si="1"/>
        <v>41438</v>
      </c>
      <c r="B51" s="265">
        <v>0</v>
      </c>
      <c r="C51" s="266">
        <v>0.05392233</v>
      </c>
      <c r="E51" s="267">
        <v>0</v>
      </c>
      <c r="F51" s="267">
        <v>0.05392233</v>
      </c>
      <c r="G51" s="270"/>
      <c r="H51" s="267">
        <v>0</v>
      </c>
      <c r="I51" s="267">
        <v>0.05392233</v>
      </c>
      <c r="J51" s="270"/>
      <c r="K51" s="267">
        <v>0</v>
      </c>
      <c r="L51" s="267">
        <v>0.05392233</v>
      </c>
      <c r="M51" s="270"/>
      <c r="N51" s="267">
        <v>0</v>
      </c>
      <c r="O51" s="267">
        <v>0.05392233</v>
      </c>
      <c r="P51" s="270"/>
      <c r="Q51" s="267">
        <v>0</v>
      </c>
      <c r="R51" s="267">
        <v>0.05392233</v>
      </c>
    </row>
    <row r="52" spans="1:18" ht="12.75">
      <c r="A52" s="246">
        <f t="shared" si="1"/>
        <v>41468</v>
      </c>
      <c r="B52" s="265">
        <v>0</v>
      </c>
      <c r="C52" s="266">
        <v>0.04766478</v>
      </c>
      <c r="E52" s="267">
        <v>0</v>
      </c>
      <c r="F52" s="267">
        <v>0.04766478</v>
      </c>
      <c r="G52" s="270"/>
      <c r="H52" s="267">
        <v>0</v>
      </c>
      <c r="I52" s="267">
        <v>0.04766478</v>
      </c>
      <c r="J52" s="270"/>
      <c r="K52" s="267">
        <v>0</v>
      </c>
      <c r="L52" s="267">
        <v>0.04766478</v>
      </c>
      <c r="M52" s="270"/>
      <c r="N52" s="267">
        <v>0</v>
      </c>
      <c r="O52" s="267">
        <v>0.04766478</v>
      </c>
      <c r="P52" s="270"/>
      <c r="Q52" s="267">
        <v>0</v>
      </c>
      <c r="R52" s="267">
        <v>0.04766478</v>
      </c>
    </row>
    <row r="53" spans="1:18" s="259" customFormat="1" ht="12.75">
      <c r="A53" s="277">
        <f t="shared" si="1"/>
        <v>41499</v>
      </c>
      <c r="B53" s="278">
        <v>0</v>
      </c>
      <c r="C53" s="279">
        <v>0.03820753</v>
      </c>
      <c r="E53" s="280">
        <v>0</v>
      </c>
      <c r="F53" s="280">
        <v>0.03820753</v>
      </c>
      <c r="G53" s="296"/>
      <c r="H53" s="280">
        <v>0</v>
      </c>
      <c r="I53" s="280">
        <v>0.03820753</v>
      </c>
      <c r="J53" s="296"/>
      <c r="K53" s="280">
        <v>0</v>
      </c>
      <c r="L53" s="280">
        <v>0.03820753</v>
      </c>
      <c r="M53" s="296"/>
      <c r="N53" s="280">
        <v>0</v>
      </c>
      <c r="O53" s="280">
        <v>0.03820753</v>
      </c>
      <c r="P53" s="296"/>
      <c r="Q53" s="280">
        <v>0</v>
      </c>
      <c r="R53" s="280">
        <v>0.03820753</v>
      </c>
    </row>
    <row r="54" spans="1:18" ht="12.75">
      <c r="A54" s="246">
        <f t="shared" si="1"/>
        <v>41530</v>
      </c>
      <c r="B54" s="265">
        <v>0</v>
      </c>
      <c r="C54" s="266">
        <v>0</v>
      </c>
      <c r="E54" s="267">
        <v>0</v>
      </c>
      <c r="F54" s="267">
        <v>0.01237224</v>
      </c>
      <c r="G54" s="270"/>
      <c r="H54" s="267">
        <v>0</v>
      </c>
      <c r="I54" s="267">
        <v>0.01482005</v>
      </c>
      <c r="J54" s="270"/>
      <c r="K54" s="267">
        <v>0</v>
      </c>
      <c r="L54" s="267">
        <v>0.01736969</v>
      </c>
      <c r="M54" s="270"/>
      <c r="N54" s="267">
        <v>0</v>
      </c>
      <c r="O54" s="267">
        <v>0.02140576</v>
      </c>
      <c r="P54" s="270"/>
      <c r="Q54" s="267">
        <v>0</v>
      </c>
      <c r="R54" s="267">
        <v>0.02812009</v>
      </c>
    </row>
    <row r="55" spans="1:18" ht="12.75">
      <c r="A55" s="246">
        <f t="shared" si="1"/>
        <v>41560</v>
      </c>
      <c r="B55" s="265">
        <v>0</v>
      </c>
      <c r="C55" s="266">
        <v>0</v>
      </c>
      <c r="E55" s="267">
        <v>0</v>
      </c>
      <c r="F55" s="267">
        <v>0.01228576</v>
      </c>
      <c r="G55" s="270"/>
      <c r="H55" s="267">
        <v>0</v>
      </c>
      <c r="I55" s="267">
        <v>0.01330004</v>
      </c>
      <c r="J55" s="270"/>
      <c r="K55" s="267">
        <v>0</v>
      </c>
      <c r="L55" s="267">
        <v>0.0107504</v>
      </c>
      <c r="M55" s="270"/>
      <c r="N55" s="267">
        <v>0</v>
      </c>
      <c r="O55" s="267">
        <v>0.00671433</v>
      </c>
      <c r="P55" s="270"/>
      <c r="Q55" s="267">
        <v>0</v>
      </c>
      <c r="R55" s="267">
        <v>0</v>
      </c>
    </row>
    <row r="56" spans="1:18" ht="12.75">
      <c r="A56" s="246">
        <f t="shared" si="1"/>
        <v>41591</v>
      </c>
      <c r="B56" s="265">
        <v>0</v>
      </c>
      <c r="C56" s="266">
        <v>0</v>
      </c>
      <c r="E56" s="267">
        <v>0</v>
      </c>
      <c r="F56" s="267">
        <v>0.00346209</v>
      </c>
      <c r="G56" s="270"/>
      <c r="H56" s="267">
        <v>0</v>
      </c>
      <c r="I56" s="267">
        <v>0</v>
      </c>
      <c r="J56" s="270"/>
      <c r="K56" s="267">
        <v>0</v>
      </c>
      <c r="L56" s="267">
        <v>0</v>
      </c>
      <c r="M56" s="270"/>
      <c r="N56" s="267">
        <v>0</v>
      </c>
      <c r="O56" s="267">
        <v>0</v>
      </c>
      <c r="P56" s="270"/>
      <c r="Q56" s="267">
        <v>0</v>
      </c>
      <c r="R56" s="267">
        <v>0</v>
      </c>
    </row>
    <row r="57" spans="1:18" ht="12.75">
      <c r="A57" s="246">
        <f t="shared" si="1"/>
        <v>41621</v>
      </c>
      <c r="B57" s="265">
        <v>0</v>
      </c>
      <c r="C57" s="266">
        <v>0</v>
      </c>
      <c r="E57" s="267">
        <v>0</v>
      </c>
      <c r="F57" s="267">
        <v>0</v>
      </c>
      <c r="G57" s="270"/>
      <c r="H57" s="267">
        <v>0</v>
      </c>
      <c r="I57" s="267">
        <v>0</v>
      </c>
      <c r="J57" s="270"/>
      <c r="K57" s="267">
        <v>0</v>
      </c>
      <c r="L57" s="267">
        <v>0</v>
      </c>
      <c r="M57" s="270"/>
      <c r="N57" s="267">
        <v>0</v>
      </c>
      <c r="O57" s="267">
        <v>0</v>
      </c>
      <c r="P57" s="270"/>
      <c r="Q57" s="267">
        <v>0</v>
      </c>
      <c r="R57" s="267">
        <v>0</v>
      </c>
    </row>
    <row r="58" spans="1:18" ht="12.75">
      <c r="A58" s="246">
        <f t="shared" si="1"/>
        <v>41652</v>
      </c>
      <c r="B58" s="265">
        <v>0</v>
      </c>
      <c r="C58" s="266">
        <v>0</v>
      </c>
      <c r="E58" s="267">
        <v>0</v>
      </c>
      <c r="F58" s="267">
        <v>0</v>
      </c>
      <c r="G58" s="270"/>
      <c r="H58" s="267">
        <v>0</v>
      </c>
      <c r="I58" s="267">
        <v>0</v>
      </c>
      <c r="J58" s="270"/>
      <c r="K58" s="267">
        <v>0</v>
      </c>
      <c r="L58" s="267">
        <v>0</v>
      </c>
      <c r="M58" s="270"/>
      <c r="N58" s="267">
        <v>0</v>
      </c>
      <c r="O58" s="267">
        <v>0</v>
      </c>
      <c r="P58" s="270"/>
      <c r="Q58" s="267">
        <v>0</v>
      </c>
      <c r="R58" s="267">
        <v>0</v>
      </c>
    </row>
    <row r="59" spans="1:18" ht="12.75">
      <c r="A59" s="246">
        <f t="shared" si="1"/>
        <v>41683</v>
      </c>
      <c r="B59" s="265">
        <v>0</v>
      </c>
      <c r="C59" s="266">
        <v>0</v>
      </c>
      <c r="E59" s="267">
        <v>0</v>
      </c>
      <c r="F59" s="267">
        <v>0</v>
      </c>
      <c r="G59" s="270"/>
      <c r="H59" s="267">
        <v>0</v>
      </c>
      <c r="I59" s="267">
        <v>0</v>
      </c>
      <c r="J59" s="270"/>
      <c r="K59" s="267">
        <v>0</v>
      </c>
      <c r="L59" s="267">
        <v>0</v>
      </c>
      <c r="M59" s="270"/>
      <c r="N59" s="267">
        <v>0</v>
      </c>
      <c r="O59" s="267">
        <v>0</v>
      </c>
      <c r="P59" s="270"/>
      <c r="Q59" s="267">
        <v>0</v>
      </c>
      <c r="R59" s="267">
        <v>0</v>
      </c>
    </row>
    <row r="60" spans="1:18" ht="12.75">
      <c r="A60" s="246">
        <f t="shared" si="1"/>
        <v>41711</v>
      </c>
      <c r="B60" s="265">
        <v>0</v>
      </c>
      <c r="C60" s="266">
        <v>0</v>
      </c>
      <c r="E60" s="267">
        <v>0</v>
      </c>
      <c r="F60" s="267">
        <v>0</v>
      </c>
      <c r="G60" s="270"/>
      <c r="H60" s="267">
        <v>0</v>
      </c>
      <c r="I60" s="267">
        <v>0</v>
      </c>
      <c r="J60" s="270"/>
      <c r="K60" s="267">
        <v>0</v>
      </c>
      <c r="L60" s="267">
        <v>0</v>
      </c>
      <c r="M60" s="270"/>
      <c r="N60" s="267">
        <v>0</v>
      </c>
      <c r="O60" s="267">
        <v>0</v>
      </c>
      <c r="P60" s="270"/>
      <c r="Q60" s="267">
        <v>0</v>
      </c>
      <c r="R60" s="267">
        <v>0</v>
      </c>
    </row>
    <row r="61" spans="1:18" ht="12.75">
      <c r="A61" s="246">
        <f t="shared" si="1"/>
        <v>41742</v>
      </c>
      <c r="B61" s="265">
        <v>0</v>
      </c>
      <c r="C61" s="266">
        <v>0</v>
      </c>
      <c r="E61" s="267">
        <v>0</v>
      </c>
      <c r="F61" s="267">
        <v>0</v>
      </c>
      <c r="G61" s="270"/>
      <c r="H61" s="267">
        <v>0</v>
      </c>
      <c r="I61" s="267">
        <v>0</v>
      </c>
      <c r="J61" s="270"/>
      <c r="K61" s="267">
        <v>0</v>
      </c>
      <c r="L61" s="267">
        <v>0</v>
      </c>
      <c r="M61" s="270"/>
      <c r="N61" s="267">
        <v>0</v>
      </c>
      <c r="O61" s="267">
        <v>0</v>
      </c>
      <c r="P61" s="270"/>
      <c r="Q61" s="267">
        <v>0</v>
      </c>
      <c r="R61" s="267">
        <v>0</v>
      </c>
    </row>
    <row r="62" spans="1:18" ht="12.75">
      <c r="A62" s="246">
        <f t="shared" si="1"/>
        <v>41772</v>
      </c>
      <c r="B62" s="265">
        <v>0</v>
      </c>
      <c r="C62" s="266">
        <v>0</v>
      </c>
      <c r="E62" s="267">
        <v>0</v>
      </c>
      <c r="F62" s="267">
        <v>0</v>
      </c>
      <c r="G62" s="270"/>
      <c r="H62" s="267">
        <v>0</v>
      </c>
      <c r="I62" s="267">
        <v>0</v>
      </c>
      <c r="J62" s="270"/>
      <c r="K62" s="267">
        <v>0</v>
      </c>
      <c r="L62" s="267">
        <v>0</v>
      </c>
      <c r="M62" s="270"/>
      <c r="N62" s="267">
        <v>0</v>
      </c>
      <c r="O62" s="267">
        <v>0</v>
      </c>
      <c r="P62" s="270"/>
      <c r="Q62" s="267">
        <v>0</v>
      </c>
      <c r="R62" s="267">
        <v>0</v>
      </c>
    </row>
    <row r="63" spans="1:18" ht="12.75">
      <c r="A63" s="246">
        <f t="shared" si="1"/>
        <v>41803</v>
      </c>
      <c r="B63" s="265">
        <v>0</v>
      </c>
      <c r="C63" s="266">
        <v>0</v>
      </c>
      <c r="E63" s="267">
        <v>0</v>
      </c>
      <c r="F63" s="267">
        <v>0</v>
      </c>
      <c r="G63" s="270"/>
      <c r="H63" s="267">
        <v>0</v>
      </c>
      <c r="I63" s="267">
        <v>0</v>
      </c>
      <c r="J63" s="270"/>
      <c r="K63" s="267">
        <v>0</v>
      </c>
      <c r="L63" s="267">
        <v>0</v>
      </c>
      <c r="M63" s="270"/>
      <c r="N63" s="267">
        <v>0</v>
      </c>
      <c r="O63" s="267">
        <v>0</v>
      </c>
      <c r="P63" s="270"/>
      <c r="Q63" s="267">
        <v>0</v>
      </c>
      <c r="R63" s="267">
        <v>0</v>
      </c>
    </row>
    <row r="64" spans="1:18" ht="12.75">
      <c r="A64" s="246">
        <f t="shared" si="1"/>
        <v>41833</v>
      </c>
      <c r="B64" s="265">
        <v>0</v>
      </c>
      <c r="C64" s="266">
        <v>0</v>
      </c>
      <c r="E64" s="267">
        <v>0</v>
      </c>
      <c r="F64" s="267">
        <v>0</v>
      </c>
      <c r="G64" s="270"/>
      <c r="H64" s="267">
        <v>0</v>
      </c>
      <c r="I64" s="267">
        <v>0</v>
      </c>
      <c r="J64" s="270"/>
      <c r="K64" s="267">
        <v>0</v>
      </c>
      <c r="L64" s="267">
        <v>0</v>
      </c>
      <c r="M64" s="270"/>
      <c r="N64" s="267">
        <v>0</v>
      </c>
      <c r="O64" s="267">
        <v>0</v>
      </c>
      <c r="P64" s="270"/>
      <c r="Q64" s="267">
        <v>0</v>
      </c>
      <c r="R64" s="267">
        <v>0</v>
      </c>
    </row>
    <row r="65" spans="1:18" ht="12.75">
      <c r="A65" s="246">
        <f t="shared" si="1"/>
        <v>41864</v>
      </c>
      <c r="B65" s="265">
        <v>0</v>
      </c>
      <c r="C65" s="266">
        <v>0</v>
      </c>
      <c r="E65" s="267">
        <v>0</v>
      </c>
      <c r="F65" s="267">
        <v>0</v>
      </c>
      <c r="G65" s="270"/>
      <c r="H65" s="267">
        <v>0</v>
      </c>
      <c r="I65" s="267">
        <v>0</v>
      </c>
      <c r="J65" s="270"/>
      <c r="K65" s="267">
        <v>0</v>
      </c>
      <c r="L65" s="267">
        <v>0</v>
      </c>
      <c r="M65" s="270"/>
      <c r="N65" s="267">
        <v>0</v>
      </c>
      <c r="O65" s="267">
        <v>0</v>
      </c>
      <c r="P65" s="270"/>
      <c r="Q65" s="267">
        <v>0</v>
      </c>
      <c r="R65" s="267">
        <v>0</v>
      </c>
    </row>
    <row r="66" spans="1:18" ht="12.75">
      <c r="A66" s="246">
        <f t="shared" si="1"/>
        <v>41895</v>
      </c>
      <c r="B66" s="265">
        <v>0</v>
      </c>
      <c r="C66" s="266">
        <v>0</v>
      </c>
      <c r="E66" s="267">
        <v>0</v>
      </c>
      <c r="F66" s="267">
        <v>0</v>
      </c>
      <c r="G66" s="270"/>
      <c r="H66" s="267">
        <v>0</v>
      </c>
      <c r="I66" s="267">
        <v>0</v>
      </c>
      <c r="J66" s="270"/>
      <c r="K66" s="267">
        <v>0</v>
      </c>
      <c r="L66" s="267">
        <v>0</v>
      </c>
      <c r="M66" s="270"/>
      <c r="N66" s="267">
        <v>0</v>
      </c>
      <c r="O66" s="267">
        <v>0</v>
      </c>
      <c r="P66" s="270"/>
      <c r="Q66" s="267">
        <v>0</v>
      </c>
      <c r="R66" s="267">
        <v>0</v>
      </c>
    </row>
    <row r="67" spans="1:18" ht="12.75">
      <c r="A67" s="246">
        <f t="shared" si="1"/>
        <v>41925</v>
      </c>
      <c r="B67" s="265">
        <v>0</v>
      </c>
      <c r="C67" s="266">
        <v>0</v>
      </c>
      <c r="E67" s="267">
        <v>0</v>
      </c>
      <c r="F67" s="267">
        <v>0</v>
      </c>
      <c r="G67" s="270"/>
      <c r="H67" s="267">
        <v>0</v>
      </c>
      <c r="I67" s="267">
        <v>0</v>
      </c>
      <c r="J67" s="270"/>
      <c r="K67" s="267">
        <v>0</v>
      </c>
      <c r="L67" s="267">
        <v>0</v>
      </c>
      <c r="M67" s="270"/>
      <c r="N67" s="267">
        <v>0</v>
      </c>
      <c r="O67" s="267">
        <v>0</v>
      </c>
      <c r="P67" s="270"/>
      <c r="Q67" s="267">
        <v>0</v>
      </c>
      <c r="R67" s="267">
        <v>0</v>
      </c>
    </row>
    <row r="68" spans="1:18" ht="12.75">
      <c r="A68" s="246">
        <f aca="true" t="shared" si="2" ref="A68:A99">+_XLL.FECHA.MES(A67,1)</f>
        <v>41956</v>
      </c>
      <c r="B68" s="265">
        <v>0</v>
      </c>
      <c r="C68" s="266">
        <v>0</v>
      </c>
      <c r="E68" s="267">
        <v>0</v>
      </c>
      <c r="F68" s="267">
        <v>0</v>
      </c>
      <c r="G68" s="270"/>
      <c r="H68" s="267">
        <v>0</v>
      </c>
      <c r="I68" s="267">
        <v>0</v>
      </c>
      <c r="J68" s="270"/>
      <c r="K68" s="267">
        <v>0</v>
      </c>
      <c r="L68" s="267">
        <v>0</v>
      </c>
      <c r="M68" s="270"/>
      <c r="N68" s="267">
        <v>0</v>
      </c>
      <c r="O68" s="267">
        <v>0</v>
      </c>
      <c r="P68" s="270"/>
      <c r="Q68" s="267">
        <v>0</v>
      </c>
      <c r="R68" s="267">
        <v>0</v>
      </c>
    </row>
    <row r="69" spans="1:18" ht="12.75">
      <c r="A69" s="246">
        <f t="shared" si="2"/>
        <v>41986</v>
      </c>
      <c r="B69" s="265">
        <v>0</v>
      </c>
      <c r="C69" s="266">
        <v>0</v>
      </c>
      <c r="E69" s="267">
        <v>0</v>
      </c>
      <c r="F69" s="267">
        <v>0</v>
      </c>
      <c r="G69" s="270"/>
      <c r="H69" s="267">
        <v>0</v>
      </c>
      <c r="I69" s="267">
        <v>0</v>
      </c>
      <c r="J69" s="270"/>
      <c r="K69" s="267">
        <v>0</v>
      </c>
      <c r="L69" s="267">
        <v>0</v>
      </c>
      <c r="M69" s="270"/>
      <c r="N69" s="267">
        <v>0</v>
      </c>
      <c r="O69" s="267">
        <v>0</v>
      </c>
      <c r="P69" s="270"/>
      <c r="Q69" s="267">
        <v>0</v>
      </c>
      <c r="R69" s="267">
        <v>0</v>
      </c>
    </row>
    <row r="70" spans="1:18" ht="12.75">
      <c r="A70" s="246">
        <f t="shared" si="2"/>
        <v>42017</v>
      </c>
      <c r="B70" s="265">
        <v>0</v>
      </c>
      <c r="C70" s="266">
        <v>0</v>
      </c>
      <c r="E70" s="267">
        <v>0</v>
      </c>
      <c r="F70" s="267">
        <v>0</v>
      </c>
      <c r="G70" s="270"/>
      <c r="H70" s="267">
        <v>0</v>
      </c>
      <c r="I70" s="267">
        <v>0</v>
      </c>
      <c r="J70" s="270"/>
      <c r="K70" s="267">
        <v>0</v>
      </c>
      <c r="L70" s="267">
        <v>0</v>
      </c>
      <c r="M70" s="270"/>
      <c r="N70" s="267">
        <v>0</v>
      </c>
      <c r="O70" s="267">
        <v>0</v>
      </c>
      <c r="P70" s="270"/>
      <c r="Q70" s="267">
        <v>0</v>
      </c>
      <c r="R70" s="267">
        <v>0</v>
      </c>
    </row>
    <row r="71" spans="1:18" ht="12.75">
      <c r="A71" s="246">
        <f t="shared" si="2"/>
        <v>42048</v>
      </c>
      <c r="B71" s="265">
        <v>0</v>
      </c>
      <c r="C71" s="266">
        <v>0</v>
      </c>
      <c r="E71" s="267">
        <v>0</v>
      </c>
      <c r="F71" s="267">
        <v>0</v>
      </c>
      <c r="G71" s="270"/>
      <c r="H71" s="267">
        <v>0</v>
      </c>
      <c r="I71" s="267">
        <v>0</v>
      </c>
      <c r="J71" s="270"/>
      <c r="K71" s="267">
        <v>0</v>
      </c>
      <c r="L71" s="267">
        <v>0</v>
      </c>
      <c r="M71" s="270"/>
      <c r="N71" s="267">
        <v>0</v>
      </c>
      <c r="O71" s="267">
        <v>0</v>
      </c>
      <c r="P71" s="270"/>
      <c r="Q71" s="267">
        <v>0</v>
      </c>
      <c r="R71" s="267">
        <v>0</v>
      </c>
    </row>
    <row r="72" spans="1:18" ht="12.75">
      <c r="A72" s="246">
        <f t="shared" si="2"/>
        <v>42076</v>
      </c>
      <c r="B72" s="265">
        <v>0</v>
      </c>
      <c r="C72" s="266">
        <v>0</v>
      </c>
      <c r="E72" s="267">
        <v>0</v>
      </c>
      <c r="F72" s="267">
        <v>0</v>
      </c>
      <c r="G72" s="270"/>
      <c r="H72" s="267">
        <v>0</v>
      </c>
      <c r="I72" s="267">
        <v>0</v>
      </c>
      <c r="J72" s="270"/>
      <c r="K72" s="267">
        <v>0</v>
      </c>
      <c r="L72" s="267">
        <v>0</v>
      </c>
      <c r="M72" s="270"/>
      <c r="N72" s="267">
        <v>0</v>
      </c>
      <c r="O72" s="267">
        <v>0</v>
      </c>
      <c r="P72" s="270"/>
      <c r="Q72" s="267">
        <v>0</v>
      </c>
      <c r="R72" s="267">
        <v>0</v>
      </c>
    </row>
    <row r="73" spans="1:18" ht="12.75">
      <c r="A73" s="246">
        <f t="shared" si="2"/>
        <v>42107</v>
      </c>
      <c r="B73" s="265">
        <v>0</v>
      </c>
      <c r="C73" s="266">
        <v>0</v>
      </c>
      <c r="E73" s="267">
        <v>0</v>
      </c>
      <c r="F73" s="267">
        <v>0</v>
      </c>
      <c r="G73" s="270"/>
      <c r="H73" s="267">
        <v>0</v>
      </c>
      <c r="I73" s="267">
        <v>0</v>
      </c>
      <c r="J73" s="270"/>
      <c r="K73" s="267">
        <v>0</v>
      </c>
      <c r="L73" s="267">
        <v>0</v>
      </c>
      <c r="M73" s="270"/>
      <c r="N73" s="267">
        <v>0</v>
      </c>
      <c r="O73" s="267">
        <v>0</v>
      </c>
      <c r="P73" s="270"/>
      <c r="Q73" s="267">
        <v>0</v>
      </c>
      <c r="R73" s="267">
        <v>0</v>
      </c>
    </row>
    <row r="74" spans="1:18" ht="12.75">
      <c r="A74" s="246">
        <f t="shared" si="2"/>
        <v>42137</v>
      </c>
      <c r="B74" s="265">
        <v>0</v>
      </c>
      <c r="C74" s="266">
        <v>0</v>
      </c>
      <c r="E74" s="267">
        <v>0</v>
      </c>
      <c r="F74" s="267">
        <v>0</v>
      </c>
      <c r="G74" s="271"/>
      <c r="H74" s="267">
        <v>0</v>
      </c>
      <c r="I74" s="267">
        <v>0</v>
      </c>
      <c r="J74" s="271"/>
      <c r="K74" s="267">
        <v>0</v>
      </c>
      <c r="L74" s="267">
        <v>0</v>
      </c>
      <c r="M74" s="271"/>
      <c r="N74" s="267">
        <v>0</v>
      </c>
      <c r="O74" s="267">
        <v>0</v>
      </c>
      <c r="P74" s="271"/>
      <c r="Q74" s="267">
        <v>0</v>
      </c>
      <c r="R74" s="267">
        <v>0</v>
      </c>
    </row>
    <row r="75" spans="1:18" ht="12.75">
      <c r="A75" s="246">
        <f t="shared" si="2"/>
        <v>42168</v>
      </c>
      <c r="B75" s="265">
        <v>0</v>
      </c>
      <c r="C75" s="266">
        <v>0</v>
      </c>
      <c r="E75" s="267">
        <v>0</v>
      </c>
      <c r="F75" s="267">
        <v>0</v>
      </c>
      <c r="G75" s="271"/>
      <c r="H75" s="267">
        <v>0</v>
      </c>
      <c r="I75" s="267">
        <v>0</v>
      </c>
      <c r="J75" s="271"/>
      <c r="K75" s="267">
        <v>0</v>
      </c>
      <c r="L75" s="267">
        <v>0</v>
      </c>
      <c r="M75" s="271"/>
      <c r="N75" s="267">
        <v>0</v>
      </c>
      <c r="O75" s="267">
        <v>0</v>
      </c>
      <c r="P75" s="271"/>
      <c r="Q75" s="267">
        <v>0</v>
      </c>
      <c r="R75" s="267">
        <v>0</v>
      </c>
    </row>
    <row r="76" spans="1:18" ht="12.75">
      <c r="A76" s="246">
        <f t="shared" si="2"/>
        <v>42198</v>
      </c>
      <c r="B76" s="265">
        <v>0</v>
      </c>
      <c r="C76" s="266">
        <v>0</v>
      </c>
      <c r="E76" s="267">
        <v>0</v>
      </c>
      <c r="F76" s="267">
        <v>0</v>
      </c>
      <c r="G76" s="270"/>
      <c r="H76" s="267">
        <v>0</v>
      </c>
      <c r="I76" s="267">
        <v>0</v>
      </c>
      <c r="J76" s="270"/>
      <c r="K76" s="267">
        <v>0</v>
      </c>
      <c r="L76" s="267">
        <v>0</v>
      </c>
      <c r="M76" s="270"/>
      <c r="N76" s="267">
        <v>0</v>
      </c>
      <c r="O76" s="267">
        <v>0</v>
      </c>
      <c r="P76" s="270"/>
      <c r="Q76" s="267">
        <v>0</v>
      </c>
      <c r="R76" s="267">
        <v>0</v>
      </c>
    </row>
    <row r="77" spans="1:18" ht="12.75">
      <c r="A77" s="246">
        <f t="shared" si="2"/>
        <v>42229</v>
      </c>
      <c r="B77" s="265">
        <v>0</v>
      </c>
      <c r="C77" s="266">
        <v>0</v>
      </c>
      <c r="E77" s="267">
        <v>0</v>
      </c>
      <c r="F77" s="267">
        <v>0</v>
      </c>
      <c r="G77" s="270"/>
      <c r="H77" s="267">
        <v>0</v>
      </c>
      <c r="I77" s="267">
        <v>0</v>
      </c>
      <c r="J77" s="270"/>
      <c r="K77" s="267">
        <v>0</v>
      </c>
      <c r="L77" s="267">
        <v>0</v>
      </c>
      <c r="M77" s="270"/>
      <c r="N77" s="267">
        <v>0</v>
      </c>
      <c r="O77" s="267">
        <v>0</v>
      </c>
      <c r="P77" s="270"/>
      <c r="Q77" s="267">
        <v>0</v>
      </c>
      <c r="R77" s="267">
        <v>0</v>
      </c>
    </row>
    <row r="78" spans="1:18" ht="12.75">
      <c r="A78" s="246">
        <f t="shared" si="2"/>
        <v>42260</v>
      </c>
      <c r="B78" s="265">
        <v>0</v>
      </c>
      <c r="C78" s="266">
        <v>0</v>
      </c>
      <c r="E78" s="267">
        <v>0</v>
      </c>
      <c r="F78" s="267">
        <v>0</v>
      </c>
      <c r="G78" s="270"/>
      <c r="H78" s="267">
        <v>0</v>
      </c>
      <c r="I78" s="267">
        <v>0</v>
      </c>
      <c r="J78" s="270"/>
      <c r="K78" s="267">
        <v>0</v>
      </c>
      <c r="L78" s="267">
        <v>0</v>
      </c>
      <c r="M78" s="270"/>
      <c r="N78" s="267">
        <v>0</v>
      </c>
      <c r="O78" s="267">
        <v>0</v>
      </c>
      <c r="P78" s="270"/>
      <c r="Q78" s="267">
        <v>0</v>
      </c>
      <c r="R78" s="267">
        <v>0</v>
      </c>
    </row>
    <row r="79" spans="1:18" ht="12.75">
      <c r="A79" s="246">
        <f t="shared" si="2"/>
        <v>42290</v>
      </c>
      <c r="B79" s="265">
        <v>0</v>
      </c>
      <c r="C79" s="266">
        <v>0</v>
      </c>
      <c r="E79" s="267">
        <v>0</v>
      </c>
      <c r="F79" s="267">
        <v>0</v>
      </c>
      <c r="G79" s="270"/>
      <c r="H79" s="267">
        <v>0</v>
      </c>
      <c r="I79" s="267">
        <v>0</v>
      </c>
      <c r="J79" s="271"/>
      <c r="K79" s="267">
        <v>0</v>
      </c>
      <c r="L79" s="267">
        <v>0</v>
      </c>
      <c r="M79" s="270"/>
      <c r="N79" s="267">
        <v>0</v>
      </c>
      <c r="O79" s="267">
        <v>0</v>
      </c>
      <c r="P79" s="272"/>
      <c r="Q79" s="267">
        <v>0</v>
      </c>
      <c r="R79" s="267">
        <v>0</v>
      </c>
    </row>
    <row r="80" spans="1:18" ht="12.75">
      <c r="A80" s="246">
        <f t="shared" si="2"/>
        <v>42321</v>
      </c>
      <c r="B80" s="265">
        <v>0</v>
      </c>
      <c r="C80" s="266">
        <v>0</v>
      </c>
      <c r="E80" s="267">
        <v>0</v>
      </c>
      <c r="F80" s="267">
        <v>0</v>
      </c>
      <c r="G80" s="270"/>
      <c r="H80" s="267">
        <v>0</v>
      </c>
      <c r="I80" s="267">
        <v>0</v>
      </c>
      <c r="J80" s="270"/>
      <c r="K80" s="267">
        <v>0</v>
      </c>
      <c r="L80" s="267">
        <v>0</v>
      </c>
      <c r="M80" s="270"/>
      <c r="N80" s="267">
        <v>0</v>
      </c>
      <c r="O80" s="267">
        <v>0</v>
      </c>
      <c r="P80" s="270"/>
      <c r="Q80" s="267">
        <v>0</v>
      </c>
      <c r="R80" s="267">
        <v>0</v>
      </c>
    </row>
    <row r="81" spans="1:18" ht="12.75">
      <c r="A81" s="246">
        <f t="shared" si="2"/>
        <v>42351</v>
      </c>
      <c r="B81" s="265">
        <v>0</v>
      </c>
      <c r="C81" s="266">
        <v>0</v>
      </c>
      <c r="E81" s="267">
        <v>0</v>
      </c>
      <c r="F81" s="267">
        <v>0</v>
      </c>
      <c r="G81" s="270"/>
      <c r="H81" s="267">
        <v>0</v>
      </c>
      <c r="I81" s="267">
        <v>0</v>
      </c>
      <c r="J81" s="270"/>
      <c r="K81" s="267">
        <v>0</v>
      </c>
      <c r="L81" s="267">
        <v>0</v>
      </c>
      <c r="M81" s="270"/>
      <c r="N81" s="267">
        <v>0</v>
      </c>
      <c r="O81" s="267">
        <v>0</v>
      </c>
      <c r="P81" s="270"/>
      <c r="Q81" s="267">
        <v>0</v>
      </c>
      <c r="R81" s="267">
        <v>0</v>
      </c>
    </row>
    <row r="82" spans="1:18" ht="12.75">
      <c r="A82" s="246">
        <f t="shared" si="2"/>
        <v>42382</v>
      </c>
      <c r="B82" s="265">
        <v>0</v>
      </c>
      <c r="C82" s="266">
        <v>0</v>
      </c>
      <c r="E82" s="267">
        <v>0</v>
      </c>
      <c r="F82" s="267">
        <v>0</v>
      </c>
      <c r="G82" s="270"/>
      <c r="H82" s="267">
        <v>0</v>
      </c>
      <c r="I82" s="267">
        <v>0</v>
      </c>
      <c r="J82" s="270"/>
      <c r="K82" s="267">
        <v>0</v>
      </c>
      <c r="L82" s="267">
        <v>0</v>
      </c>
      <c r="M82" s="270"/>
      <c r="N82" s="267">
        <v>0</v>
      </c>
      <c r="O82" s="267">
        <v>0</v>
      </c>
      <c r="P82" s="270"/>
      <c r="Q82" s="267">
        <v>0</v>
      </c>
      <c r="R82" s="267">
        <v>0</v>
      </c>
    </row>
    <row r="83" spans="1:18" ht="12.75">
      <c r="A83" s="246">
        <f t="shared" si="2"/>
        <v>42413</v>
      </c>
      <c r="B83" s="265">
        <v>0</v>
      </c>
      <c r="C83" s="266">
        <v>0</v>
      </c>
      <c r="E83" s="267">
        <v>0</v>
      </c>
      <c r="F83" s="267">
        <v>0</v>
      </c>
      <c r="G83" s="270"/>
      <c r="H83" s="267">
        <v>0</v>
      </c>
      <c r="I83" s="267">
        <v>0</v>
      </c>
      <c r="J83" s="270"/>
      <c r="K83" s="267">
        <v>0</v>
      </c>
      <c r="L83" s="267">
        <v>0</v>
      </c>
      <c r="M83" s="270"/>
      <c r="N83" s="267">
        <v>0</v>
      </c>
      <c r="O83" s="267">
        <v>0</v>
      </c>
      <c r="P83" s="270"/>
      <c r="Q83" s="267">
        <v>0</v>
      </c>
      <c r="R83" s="267">
        <v>0</v>
      </c>
    </row>
    <row r="84" spans="1:18" ht="12.75">
      <c r="A84" s="246">
        <f t="shared" si="2"/>
        <v>42442</v>
      </c>
      <c r="B84" s="265">
        <v>0</v>
      </c>
      <c r="C84" s="266">
        <v>0</v>
      </c>
      <c r="E84" s="267">
        <v>0</v>
      </c>
      <c r="F84" s="267">
        <v>0</v>
      </c>
      <c r="G84" s="270"/>
      <c r="H84" s="267">
        <v>0</v>
      </c>
      <c r="I84" s="267">
        <v>0</v>
      </c>
      <c r="J84" s="270"/>
      <c r="K84" s="267">
        <v>0</v>
      </c>
      <c r="L84" s="267">
        <v>0</v>
      </c>
      <c r="M84" s="270"/>
      <c r="N84" s="267">
        <v>0</v>
      </c>
      <c r="O84" s="267">
        <v>0</v>
      </c>
      <c r="P84" s="270"/>
      <c r="Q84" s="267">
        <v>0</v>
      </c>
      <c r="R84" s="267">
        <v>0</v>
      </c>
    </row>
    <row r="85" spans="1:18" ht="12.75">
      <c r="A85" s="246">
        <f t="shared" si="2"/>
        <v>42473</v>
      </c>
      <c r="B85" s="265">
        <v>0</v>
      </c>
      <c r="C85" s="266">
        <v>0</v>
      </c>
      <c r="E85" s="267">
        <v>0</v>
      </c>
      <c r="F85" s="267">
        <v>0</v>
      </c>
      <c r="G85" s="270"/>
      <c r="H85" s="267">
        <v>0</v>
      </c>
      <c r="I85" s="267">
        <v>0</v>
      </c>
      <c r="J85" s="270"/>
      <c r="K85" s="267">
        <v>0</v>
      </c>
      <c r="L85" s="267">
        <v>0</v>
      </c>
      <c r="M85" s="270"/>
      <c r="N85" s="267">
        <v>0</v>
      </c>
      <c r="O85" s="267">
        <v>0</v>
      </c>
      <c r="P85" s="270"/>
      <c r="Q85" s="267">
        <v>0</v>
      </c>
      <c r="R85" s="267">
        <v>0</v>
      </c>
    </row>
    <row r="86" spans="1:18" ht="12.75">
      <c r="A86" s="246">
        <f t="shared" si="2"/>
        <v>42503</v>
      </c>
      <c r="B86" s="265">
        <v>0</v>
      </c>
      <c r="C86" s="266">
        <v>0</v>
      </c>
      <c r="E86" s="267">
        <v>0</v>
      </c>
      <c r="F86" s="267">
        <v>0</v>
      </c>
      <c r="G86" s="270"/>
      <c r="H86" s="267">
        <v>0</v>
      </c>
      <c r="I86" s="267">
        <v>0</v>
      </c>
      <c r="J86" s="270"/>
      <c r="K86" s="267">
        <v>0</v>
      </c>
      <c r="L86" s="267">
        <v>0</v>
      </c>
      <c r="M86" s="270"/>
      <c r="N86" s="267">
        <v>0</v>
      </c>
      <c r="O86" s="267">
        <v>0</v>
      </c>
      <c r="P86" s="270"/>
      <c r="Q86" s="267">
        <v>0</v>
      </c>
      <c r="R86" s="267">
        <v>0</v>
      </c>
    </row>
    <row r="87" spans="1:18" ht="12.75">
      <c r="A87" s="246">
        <f t="shared" si="2"/>
        <v>42534</v>
      </c>
      <c r="B87" s="265">
        <v>0</v>
      </c>
      <c r="C87" s="266">
        <v>0</v>
      </c>
      <c r="E87" s="267">
        <v>0</v>
      </c>
      <c r="F87" s="267">
        <v>0</v>
      </c>
      <c r="G87" s="270"/>
      <c r="H87" s="267">
        <v>0</v>
      </c>
      <c r="I87" s="267">
        <v>0</v>
      </c>
      <c r="J87" s="270"/>
      <c r="K87" s="267">
        <v>0</v>
      </c>
      <c r="L87" s="267">
        <v>0</v>
      </c>
      <c r="M87" s="270"/>
      <c r="N87" s="267">
        <v>0</v>
      </c>
      <c r="O87" s="267">
        <v>0</v>
      </c>
      <c r="P87" s="270"/>
      <c r="Q87" s="267">
        <v>0</v>
      </c>
      <c r="R87" s="267">
        <v>0</v>
      </c>
    </row>
    <row r="88" spans="1:18" ht="12.75">
      <c r="A88" s="246">
        <f t="shared" si="2"/>
        <v>42564</v>
      </c>
      <c r="B88" s="265">
        <v>0</v>
      </c>
      <c r="C88" s="266">
        <v>0</v>
      </c>
      <c r="E88" s="267">
        <v>0</v>
      </c>
      <c r="F88" s="267">
        <v>0</v>
      </c>
      <c r="G88" s="270"/>
      <c r="H88" s="267">
        <v>0</v>
      </c>
      <c r="I88" s="267">
        <v>0</v>
      </c>
      <c r="J88" s="270"/>
      <c r="K88" s="267">
        <v>0</v>
      </c>
      <c r="L88" s="267">
        <v>0</v>
      </c>
      <c r="M88" s="270"/>
      <c r="N88" s="267">
        <v>0</v>
      </c>
      <c r="O88" s="267">
        <v>0</v>
      </c>
      <c r="P88" s="270"/>
      <c r="Q88" s="267">
        <v>0</v>
      </c>
      <c r="R88" s="267">
        <v>0</v>
      </c>
    </row>
    <row r="89" spans="1:18" ht="12.75">
      <c r="A89" s="246">
        <f t="shared" si="2"/>
        <v>42595</v>
      </c>
      <c r="B89" s="265">
        <v>0</v>
      </c>
      <c r="C89" s="266">
        <v>0</v>
      </c>
      <c r="E89" s="267">
        <v>0</v>
      </c>
      <c r="F89" s="267">
        <v>0</v>
      </c>
      <c r="G89" s="270"/>
      <c r="H89" s="267">
        <v>0</v>
      </c>
      <c r="I89" s="267">
        <v>0</v>
      </c>
      <c r="J89" s="270"/>
      <c r="K89" s="267">
        <v>0</v>
      </c>
      <c r="L89" s="267">
        <v>0</v>
      </c>
      <c r="M89" s="270"/>
      <c r="N89" s="267">
        <v>0</v>
      </c>
      <c r="O89" s="267">
        <v>0</v>
      </c>
      <c r="P89" s="270"/>
      <c r="Q89" s="267">
        <v>0</v>
      </c>
      <c r="R89" s="267">
        <v>0</v>
      </c>
    </row>
    <row r="90" spans="1:18" ht="12.75">
      <c r="A90" s="246">
        <f t="shared" si="2"/>
        <v>42626</v>
      </c>
      <c r="B90" s="265">
        <v>0</v>
      </c>
      <c r="C90" s="266">
        <v>0</v>
      </c>
      <c r="E90" s="267">
        <v>0</v>
      </c>
      <c r="F90" s="267">
        <v>0</v>
      </c>
      <c r="G90" s="270"/>
      <c r="H90" s="267">
        <v>0</v>
      </c>
      <c r="I90" s="267">
        <v>0</v>
      </c>
      <c r="J90" s="270"/>
      <c r="K90" s="267">
        <v>0</v>
      </c>
      <c r="L90" s="267">
        <v>0</v>
      </c>
      <c r="M90" s="270"/>
      <c r="N90" s="267">
        <v>0</v>
      </c>
      <c r="O90" s="267">
        <v>0</v>
      </c>
      <c r="P90" s="271"/>
      <c r="Q90" s="267">
        <v>0</v>
      </c>
      <c r="R90" s="267">
        <v>0</v>
      </c>
    </row>
    <row r="91" spans="1:18" ht="12.75">
      <c r="A91" s="246">
        <f t="shared" si="2"/>
        <v>42656</v>
      </c>
      <c r="B91" s="265">
        <v>0</v>
      </c>
      <c r="C91" s="266">
        <v>0</v>
      </c>
      <c r="E91" s="267">
        <v>0</v>
      </c>
      <c r="F91" s="267">
        <v>0</v>
      </c>
      <c r="G91" s="271"/>
      <c r="H91" s="267">
        <v>0</v>
      </c>
      <c r="I91" s="267">
        <v>0</v>
      </c>
      <c r="J91" s="271"/>
      <c r="K91" s="267">
        <v>0</v>
      </c>
      <c r="L91" s="267">
        <v>0</v>
      </c>
      <c r="M91" s="271"/>
      <c r="N91" s="267">
        <v>0</v>
      </c>
      <c r="O91" s="267">
        <v>0</v>
      </c>
      <c r="P91" s="271"/>
      <c r="Q91" s="267">
        <v>0</v>
      </c>
      <c r="R91" s="267">
        <v>0</v>
      </c>
    </row>
    <row r="92" spans="1:18" ht="12.75">
      <c r="A92" s="246">
        <f t="shared" si="2"/>
        <v>42687</v>
      </c>
      <c r="B92" s="265">
        <v>0</v>
      </c>
      <c r="C92" s="266">
        <v>0</v>
      </c>
      <c r="E92" s="267">
        <v>0</v>
      </c>
      <c r="F92" s="267">
        <v>0</v>
      </c>
      <c r="G92" s="271"/>
      <c r="H92" s="267">
        <v>0</v>
      </c>
      <c r="I92" s="267">
        <v>0</v>
      </c>
      <c r="J92" s="271"/>
      <c r="K92" s="267">
        <v>0</v>
      </c>
      <c r="L92" s="267">
        <v>0</v>
      </c>
      <c r="M92" s="271"/>
      <c r="N92" s="267">
        <v>0</v>
      </c>
      <c r="O92" s="267">
        <v>0</v>
      </c>
      <c r="P92" s="271"/>
      <c r="Q92" s="267">
        <v>0</v>
      </c>
      <c r="R92" s="267">
        <v>0</v>
      </c>
    </row>
    <row r="93" spans="1:18" ht="12.75">
      <c r="A93" s="246">
        <f t="shared" si="2"/>
        <v>42717</v>
      </c>
      <c r="B93" s="265">
        <v>0</v>
      </c>
      <c r="C93" s="266">
        <v>0</v>
      </c>
      <c r="E93" s="267">
        <v>0</v>
      </c>
      <c r="F93" s="267">
        <v>0</v>
      </c>
      <c r="G93" s="270"/>
      <c r="H93" s="267">
        <v>0</v>
      </c>
      <c r="I93" s="267">
        <v>0</v>
      </c>
      <c r="J93" s="270"/>
      <c r="K93" s="267">
        <v>0</v>
      </c>
      <c r="L93" s="267">
        <v>0</v>
      </c>
      <c r="M93" s="270"/>
      <c r="N93" s="267">
        <v>0</v>
      </c>
      <c r="O93" s="267">
        <v>0</v>
      </c>
      <c r="P93" s="270"/>
      <c r="Q93" s="267">
        <v>0</v>
      </c>
      <c r="R93" s="267">
        <v>0</v>
      </c>
    </row>
    <row r="94" spans="1:18" ht="12.75">
      <c r="A94" s="246">
        <f t="shared" si="2"/>
        <v>42748</v>
      </c>
      <c r="B94" s="265">
        <v>0</v>
      </c>
      <c r="C94" s="266">
        <v>0</v>
      </c>
      <c r="E94" s="267">
        <v>0</v>
      </c>
      <c r="F94" s="267">
        <v>0</v>
      </c>
      <c r="G94" s="270"/>
      <c r="H94" s="267">
        <v>0</v>
      </c>
      <c r="I94" s="267">
        <v>0</v>
      </c>
      <c r="J94" s="270"/>
      <c r="K94" s="267">
        <v>0</v>
      </c>
      <c r="L94" s="267">
        <v>0</v>
      </c>
      <c r="M94" s="270"/>
      <c r="N94" s="267">
        <v>0</v>
      </c>
      <c r="O94" s="267">
        <v>0</v>
      </c>
      <c r="P94" s="270"/>
      <c r="Q94" s="267">
        <v>0</v>
      </c>
      <c r="R94" s="267">
        <v>0</v>
      </c>
    </row>
    <row r="95" spans="1:18" ht="12.75">
      <c r="A95" s="246">
        <f t="shared" si="2"/>
        <v>42779</v>
      </c>
      <c r="B95" s="265">
        <v>0</v>
      </c>
      <c r="C95" s="266">
        <v>0</v>
      </c>
      <c r="E95" s="267">
        <v>0</v>
      </c>
      <c r="F95" s="267">
        <v>0</v>
      </c>
      <c r="G95" s="270"/>
      <c r="H95" s="267">
        <v>0</v>
      </c>
      <c r="I95" s="267">
        <v>0</v>
      </c>
      <c r="J95" s="270"/>
      <c r="K95" s="267">
        <v>0</v>
      </c>
      <c r="L95" s="267">
        <v>0</v>
      </c>
      <c r="M95" s="270"/>
      <c r="N95" s="267">
        <v>0</v>
      </c>
      <c r="O95" s="267">
        <v>0</v>
      </c>
      <c r="P95" s="270"/>
      <c r="Q95" s="267">
        <v>0</v>
      </c>
      <c r="R95" s="267">
        <v>0</v>
      </c>
    </row>
    <row r="96" spans="1:18" ht="12.75">
      <c r="A96" s="246">
        <f t="shared" si="2"/>
        <v>42807</v>
      </c>
      <c r="B96" s="265">
        <v>0</v>
      </c>
      <c r="C96" s="266">
        <v>0</v>
      </c>
      <c r="E96" s="267">
        <v>0</v>
      </c>
      <c r="F96" s="267">
        <v>0</v>
      </c>
      <c r="G96" s="270"/>
      <c r="H96" s="267">
        <v>0</v>
      </c>
      <c r="I96" s="267">
        <v>0</v>
      </c>
      <c r="J96" s="270"/>
      <c r="K96" s="267">
        <v>0</v>
      </c>
      <c r="L96" s="267">
        <v>0</v>
      </c>
      <c r="M96" s="270"/>
      <c r="N96" s="267">
        <v>0</v>
      </c>
      <c r="O96" s="267">
        <v>0</v>
      </c>
      <c r="P96" s="270"/>
      <c r="Q96" s="267">
        <v>0</v>
      </c>
      <c r="R96" s="267">
        <v>0</v>
      </c>
    </row>
    <row r="97" spans="1:18" ht="12.75">
      <c r="A97" s="246">
        <f t="shared" si="2"/>
        <v>42838</v>
      </c>
      <c r="B97" s="265">
        <v>0</v>
      </c>
      <c r="C97" s="266">
        <v>0</v>
      </c>
      <c r="E97" s="267">
        <v>0</v>
      </c>
      <c r="F97" s="267">
        <v>0</v>
      </c>
      <c r="G97" s="270"/>
      <c r="H97" s="267">
        <v>0</v>
      </c>
      <c r="I97" s="267">
        <v>0</v>
      </c>
      <c r="J97" s="270"/>
      <c r="K97" s="267">
        <v>0</v>
      </c>
      <c r="L97" s="267">
        <v>0</v>
      </c>
      <c r="M97" s="270"/>
      <c r="N97" s="267">
        <v>0</v>
      </c>
      <c r="O97" s="267">
        <v>0</v>
      </c>
      <c r="P97" s="270"/>
      <c r="Q97" s="267">
        <v>0</v>
      </c>
      <c r="R97" s="267">
        <v>0</v>
      </c>
    </row>
    <row r="98" spans="1:18" ht="12.75">
      <c r="A98" s="246">
        <f t="shared" si="2"/>
        <v>42868</v>
      </c>
      <c r="B98" s="265">
        <v>0</v>
      </c>
      <c r="C98" s="266">
        <v>0</v>
      </c>
      <c r="E98" s="267">
        <v>0</v>
      </c>
      <c r="F98" s="267">
        <v>0</v>
      </c>
      <c r="G98" s="271"/>
      <c r="H98" s="267">
        <v>0</v>
      </c>
      <c r="I98" s="267">
        <v>0</v>
      </c>
      <c r="J98" s="271"/>
      <c r="K98" s="267">
        <v>0</v>
      </c>
      <c r="L98" s="267">
        <v>0</v>
      </c>
      <c r="M98" s="271"/>
      <c r="N98" s="267">
        <v>0</v>
      </c>
      <c r="O98" s="267">
        <v>0</v>
      </c>
      <c r="P98" s="271"/>
      <c r="Q98" s="267">
        <v>0</v>
      </c>
      <c r="R98" s="267">
        <v>0</v>
      </c>
    </row>
    <row r="99" spans="1:18" ht="12.75">
      <c r="A99" s="246">
        <f t="shared" si="2"/>
        <v>42899</v>
      </c>
      <c r="B99" s="265">
        <v>0</v>
      </c>
      <c r="C99" s="266">
        <v>0</v>
      </c>
      <c r="E99" s="267">
        <v>0</v>
      </c>
      <c r="F99" s="267">
        <v>0</v>
      </c>
      <c r="G99" s="271"/>
      <c r="H99" s="267">
        <v>0</v>
      </c>
      <c r="I99" s="267">
        <v>0</v>
      </c>
      <c r="J99" s="270"/>
      <c r="K99" s="267">
        <v>0</v>
      </c>
      <c r="L99" s="267">
        <v>0</v>
      </c>
      <c r="M99" s="270"/>
      <c r="N99" s="267">
        <v>0</v>
      </c>
      <c r="O99" s="267">
        <v>0</v>
      </c>
      <c r="P99" s="270"/>
      <c r="Q99" s="267">
        <v>0</v>
      </c>
      <c r="R99" s="267">
        <v>0</v>
      </c>
    </row>
    <row r="100" spans="1:18" ht="12.75">
      <c r="A100" s="246">
        <f aca="true" t="shared" si="3" ref="A100:A131">+_XLL.FECHA.MES(A99,1)</f>
        <v>42929</v>
      </c>
      <c r="B100" s="265">
        <v>0</v>
      </c>
      <c r="C100" s="266">
        <v>0</v>
      </c>
      <c r="E100" s="267">
        <v>0</v>
      </c>
      <c r="F100" s="267">
        <v>0</v>
      </c>
      <c r="G100" s="270"/>
      <c r="H100" s="267">
        <v>0</v>
      </c>
      <c r="I100" s="267">
        <v>0</v>
      </c>
      <c r="J100" s="270"/>
      <c r="K100" s="267">
        <v>0</v>
      </c>
      <c r="L100" s="267">
        <v>0</v>
      </c>
      <c r="M100" s="270"/>
      <c r="N100" s="267">
        <v>0</v>
      </c>
      <c r="O100" s="267">
        <v>0</v>
      </c>
      <c r="P100" s="270"/>
      <c r="Q100" s="267">
        <v>0</v>
      </c>
      <c r="R100" s="267">
        <v>0</v>
      </c>
    </row>
    <row r="101" spans="1:18" ht="12.75">
      <c r="A101" s="246">
        <f t="shared" si="3"/>
        <v>42960</v>
      </c>
      <c r="B101" s="265">
        <v>0</v>
      </c>
      <c r="C101" s="266">
        <v>0</v>
      </c>
      <c r="E101" s="267">
        <v>0</v>
      </c>
      <c r="F101" s="267">
        <v>0</v>
      </c>
      <c r="G101" s="270"/>
      <c r="H101" s="267">
        <v>0</v>
      </c>
      <c r="I101" s="267">
        <v>0</v>
      </c>
      <c r="J101" s="270"/>
      <c r="K101" s="267">
        <v>0</v>
      </c>
      <c r="L101" s="267">
        <v>0</v>
      </c>
      <c r="M101" s="271"/>
      <c r="N101" s="267">
        <v>0</v>
      </c>
      <c r="O101" s="267">
        <v>0</v>
      </c>
      <c r="P101" s="272"/>
      <c r="Q101" s="267">
        <v>0</v>
      </c>
      <c r="R101" s="267">
        <v>0</v>
      </c>
    </row>
    <row r="102" spans="1:18" ht="12.75">
      <c r="A102" s="246">
        <f t="shared" si="3"/>
        <v>42991</v>
      </c>
      <c r="B102" s="265">
        <v>0</v>
      </c>
      <c r="C102" s="266">
        <v>0</v>
      </c>
      <c r="E102" s="267">
        <v>0</v>
      </c>
      <c r="F102" s="267">
        <v>0</v>
      </c>
      <c r="G102" s="270"/>
      <c r="H102" s="267">
        <v>0</v>
      </c>
      <c r="I102" s="267">
        <v>0</v>
      </c>
      <c r="J102" s="270"/>
      <c r="K102" s="267">
        <v>0</v>
      </c>
      <c r="L102" s="267">
        <v>0</v>
      </c>
      <c r="M102" s="270"/>
      <c r="N102" s="267">
        <v>0</v>
      </c>
      <c r="O102" s="267">
        <v>0</v>
      </c>
      <c r="P102" s="272"/>
      <c r="Q102" s="267">
        <v>0</v>
      </c>
      <c r="R102" s="267">
        <v>0</v>
      </c>
    </row>
    <row r="103" spans="1:18" ht="12.75">
      <c r="A103" s="246">
        <f t="shared" si="3"/>
        <v>43021</v>
      </c>
      <c r="B103" s="265">
        <v>0</v>
      </c>
      <c r="C103" s="266">
        <v>0</v>
      </c>
      <c r="E103" s="267">
        <v>0</v>
      </c>
      <c r="F103" s="267">
        <v>0</v>
      </c>
      <c r="G103" s="270"/>
      <c r="H103" s="267">
        <v>0</v>
      </c>
      <c r="I103" s="267">
        <v>0</v>
      </c>
      <c r="J103" s="270"/>
      <c r="K103" s="267">
        <v>0</v>
      </c>
      <c r="L103" s="267">
        <v>0</v>
      </c>
      <c r="M103" s="270"/>
      <c r="N103" s="267">
        <v>0</v>
      </c>
      <c r="O103" s="267">
        <v>0</v>
      </c>
      <c r="P103" s="270"/>
      <c r="Q103" s="267">
        <v>0</v>
      </c>
      <c r="R103" s="267">
        <v>0</v>
      </c>
    </row>
    <row r="104" spans="1:18" ht="12.75">
      <c r="A104" s="246">
        <f t="shared" si="3"/>
        <v>43052</v>
      </c>
      <c r="B104" s="265">
        <v>0</v>
      </c>
      <c r="C104" s="266">
        <v>0</v>
      </c>
      <c r="E104" s="267">
        <v>0</v>
      </c>
      <c r="F104" s="267">
        <v>0</v>
      </c>
      <c r="G104" s="270"/>
      <c r="H104" s="267">
        <v>0</v>
      </c>
      <c r="I104" s="267">
        <v>0</v>
      </c>
      <c r="J104" s="270"/>
      <c r="K104" s="267">
        <v>0</v>
      </c>
      <c r="L104" s="267">
        <v>0</v>
      </c>
      <c r="M104" s="270"/>
      <c r="N104" s="267">
        <v>0</v>
      </c>
      <c r="O104" s="267">
        <v>0</v>
      </c>
      <c r="P104" s="270"/>
      <c r="Q104" s="267">
        <v>0</v>
      </c>
      <c r="R104" s="267">
        <v>0</v>
      </c>
    </row>
    <row r="105" spans="1:18" ht="12.75">
      <c r="A105" s="246">
        <f t="shared" si="3"/>
        <v>43082</v>
      </c>
      <c r="B105" s="265">
        <v>0</v>
      </c>
      <c r="C105" s="266">
        <v>0</v>
      </c>
      <c r="E105" s="267">
        <v>0</v>
      </c>
      <c r="F105" s="267">
        <v>0</v>
      </c>
      <c r="G105" s="270"/>
      <c r="H105" s="267">
        <v>0</v>
      </c>
      <c r="I105" s="267">
        <v>0</v>
      </c>
      <c r="J105" s="270"/>
      <c r="K105" s="267">
        <v>0</v>
      </c>
      <c r="L105" s="267">
        <v>0</v>
      </c>
      <c r="M105" s="270"/>
      <c r="N105" s="267">
        <v>0</v>
      </c>
      <c r="O105" s="267">
        <v>0</v>
      </c>
      <c r="P105" s="270"/>
      <c r="Q105" s="267">
        <v>0</v>
      </c>
      <c r="R105" s="267">
        <v>0</v>
      </c>
    </row>
    <row r="106" spans="1:18" ht="12.75">
      <c r="A106" s="246">
        <f t="shared" si="3"/>
        <v>43113</v>
      </c>
      <c r="B106" s="265">
        <v>0</v>
      </c>
      <c r="C106" s="266">
        <v>0</v>
      </c>
      <c r="E106" s="267">
        <v>0</v>
      </c>
      <c r="F106" s="267">
        <v>0</v>
      </c>
      <c r="G106" s="271"/>
      <c r="H106" s="267">
        <v>0</v>
      </c>
      <c r="I106" s="267">
        <v>0</v>
      </c>
      <c r="J106" s="271"/>
      <c r="K106" s="267">
        <v>0</v>
      </c>
      <c r="L106" s="267">
        <v>0</v>
      </c>
      <c r="M106" s="271"/>
      <c r="N106" s="267">
        <v>0</v>
      </c>
      <c r="O106" s="267">
        <v>0</v>
      </c>
      <c r="P106" s="271"/>
      <c r="Q106" s="267">
        <v>0</v>
      </c>
      <c r="R106" s="267">
        <v>0</v>
      </c>
    </row>
    <row r="107" spans="1:18" ht="12.75">
      <c r="A107" s="246">
        <f t="shared" si="3"/>
        <v>43144</v>
      </c>
      <c r="B107" s="265">
        <v>0</v>
      </c>
      <c r="C107" s="266">
        <v>0</v>
      </c>
      <c r="E107" s="267">
        <v>0</v>
      </c>
      <c r="F107" s="267">
        <v>0</v>
      </c>
      <c r="G107" s="270"/>
      <c r="H107" s="267">
        <v>0</v>
      </c>
      <c r="I107" s="267">
        <v>0</v>
      </c>
      <c r="J107" s="270"/>
      <c r="K107" s="267">
        <v>0</v>
      </c>
      <c r="L107" s="267">
        <v>0</v>
      </c>
      <c r="M107" s="270"/>
      <c r="N107" s="267">
        <v>0</v>
      </c>
      <c r="O107" s="267">
        <v>0</v>
      </c>
      <c r="P107" s="270"/>
      <c r="Q107" s="267">
        <v>0</v>
      </c>
      <c r="R107" s="267">
        <v>0</v>
      </c>
    </row>
    <row r="108" spans="1:18" ht="12.75">
      <c r="A108" s="246">
        <f t="shared" si="3"/>
        <v>43172</v>
      </c>
      <c r="B108" s="265">
        <v>0</v>
      </c>
      <c r="C108" s="266">
        <v>0</v>
      </c>
      <c r="E108" s="267">
        <v>0</v>
      </c>
      <c r="F108" s="267">
        <v>0</v>
      </c>
      <c r="G108" s="270"/>
      <c r="H108" s="267">
        <v>0</v>
      </c>
      <c r="I108" s="267">
        <v>0</v>
      </c>
      <c r="J108" s="271"/>
      <c r="K108" s="267">
        <v>0</v>
      </c>
      <c r="L108" s="267">
        <v>0</v>
      </c>
      <c r="M108" s="271"/>
      <c r="N108" s="267">
        <v>0</v>
      </c>
      <c r="O108" s="267">
        <v>0</v>
      </c>
      <c r="P108" s="270"/>
      <c r="Q108" s="267">
        <v>0</v>
      </c>
      <c r="R108" s="267">
        <v>0</v>
      </c>
    </row>
    <row r="109" spans="1:18" ht="12.75">
      <c r="A109" s="246">
        <f t="shared" si="3"/>
        <v>43203</v>
      </c>
      <c r="B109" s="265">
        <v>0</v>
      </c>
      <c r="C109" s="266">
        <v>0</v>
      </c>
      <c r="E109" s="267">
        <v>0</v>
      </c>
      <c r="F109" s="267">
        <v>0</v>
      </c>
      <c r="G109" s="270"/>
      <c r="H109" s="267">
        <v>0</v>
      </c>
      <c r="I109" s="267">
        <v>0</v>
      </c>
      <c r="J109" s="270"/>
      <c r="K109" s="267">
        <v>0</v>
      </c>
      <c r="L109" s="267">
        <v>0</v>
      </c>
      <c r="M109" s="273"/>
      <c r="N109" s="267">
        <v>0</v>
      </c>
      <c r="O109" s="267">
        <v>0</v>
      </c>
      <c r="P109" s="270"/>
      <c r="Q109" s="267">
        <v>0</v>
      </c>
      <c r="R109" s="267">
        <v>0</v>
      </c>
    </row>
    <row r="110" spans="1:18" ht="12.75">
      <c r="A110" s="246">
        <f t="shared" si="3"/>
        <v>43233</v>
      </c>
      <c r="B110" s="265">
        <v>0</v>
      </c>
      <c r="C110" s="266">
        <v>0</v>
      </c>
      <c r="E110" s="267">
        <v>0</v>
      </c>
      <c r="F110" s="267">
        <v>0</v>
      </c>
      <c r="G110" s="270"/>
      <c r="H110" s="267">
        <v>0</v>
      </c>
      <c r="I110" s="267">
        <v>0</v>
      </c>
      <c r="J110" s="270"/>
      <c r="K110" s="267">
        <v>0</v>
      </c>
      <c r="L110" s="267">
        <v>0</v>
      </c>
      <c r="M110" s="273"/>
      <c r="N110" s="267">
        <v>0</v>
      </c>
      <c r="O110" s="267">
        <v>0</v>
      </c>
      <c r="P110" s="270"/>
      <c r="Q110" s="267">
        <v>0</v>
      </c>
      <c r="R110" s="267">
        <v>0</v>
      </c>
    </row>
    <row r="111" spans="1:18" ht="12.75">
      <c r="A111" s="246">
        <f t="shared" si="3"/>
        <v>43264</v>
      </c>
      <c r="B111" s="265">
        <v>0</v>
      </c>
      <c r="C111" s="266">
        <v>0</v>
      </c>
      <c r="E111" s="267">
        <v>0</v>
      </c>
      <c r="F111" s="267">
        <v>0</v>
      </c>
      <c r="G111" s="270"/>
      <c r="H111" s="267">
        <v>0</v>
      </c>
      <c r="I111" s="267">
        <v>0</v>
      </c>
      <c r="J111" s="270"/>
      <c r="K111" s="267">
        <v>0</v>
      </c>
      <c r="L111" s="267">
        <v>0</v>
      </c>
      <c r="M111" s="270"/>
      <c r="N111" s="267">
        <v>0</v>
      </c>
      <c r="O111" s="267">
        <v>0</v>
      </c>
      <c r="P111" s="270"/>
      <c r="Q111" s="267">
        <v>0</v>
      </c>
      <c r="R111" s="267">
        <v>0</v>
      </c>
    </row>
    <row r="112" spans="1:18" ht="12.75">
      <c r="A112" s="246">
        <f t="shared" si="3"/>
        <v>43294</v>
      </c>
      <c r="B112" s="265">
        <v>0</v>
      </c>
      <c r="C112" s="266">
        <v>0</v>
      </c>
      <c r="E112" s="267">
        <v>0</v>
      </c>
      <c r="F112" s="267">
        <v>0</v>
      </c>
      <c r="G112" s="270"/>
      <c r="H112" s="267">
        <v>0</v>
      </c>
      <c r="I112" s="267">
        <v>0</v>
      </c>
      <c r="J112" s="270"/>
      <c r="K112" s="267">
        <v>0</v>
      </c>
      <c r="L112" s="267">
        <v>0</v>
      </c>
      <c r="M112" s="270"/>
      <c r="N112" s="267">
        <v>0</v>
      </c>
      <c r="O112" s="267">
        <v>0</v>
      </c>
      <c r="P112" s="270"/>
      <c r="Q112" s="267">
        <v>0</v>
      </c>
      <c r="R112" s="267">
        <v>0</v>
      </c>
    </row>
    <row r="113" spans="1:18" ht="12.75">
      <c r="A113" s="246">
        <f t="shared" si="3"/>
        <v>43325</v>
      </c>
      <c r="B113" s="265">
        <v>0</v>
      </c>
      <c r="C113" s="266">
        <v>0</v>
      </c>
      <c r="E113" s="267">
        <v>0</v>
      </c>
      <c r="F113" s="267">
        <v>0</v>
      </c>
      <c r="G113" s="271"/>
      <c r="H113" s="267">
        <v>0</v>
      </c>
      <c r="I113" s="267">
        <v>0</v>
      </c>
      <c r="J113" s="270"/>
      <c r="K113" s="267">
        <v>0</v>
      </c>
      <c r="L113" s="267">
        <v>0</v>
      </c>
      <c r="M113" s="270"/>
      <c r="N113" s="267">
        <v>0</v>
      </c>
      <c r="O113" s="267">
        <v>0</v>
      </c>
      <c r="P113" s="270"/>
      <c r="Q113" s="267">
        <v>0</v>
      </c>
      <c r="R113" s="267">
        <v>0</v>
      </c>
    </row>
    <row r="114" spans="1:18" ht="12.75">
      <c r="A114" s="246">
        <f t="shared" si="3"/>
        <v>43356</v>
      </c>
      <c r="B114" s="265">
        <v>0</v>
      </c>
      <c r="C114" s="266">
        <v>0</v>
      </c>
      <c r="E114" s="267">
        <v>0</v>
      </c>
      <c r="F114" s="267">
        <v>0</v>
      </c>
      <c r="G114" s="270"/>
      <c r="H114" s="267">
        <v>0</v>
      </c>
      <c r="I114" s="267">
        <v>0</v>
      </c>
      <c r="J114" s="272"/>
      <c r="K114" s="267">
        <v>0</v>
      </c>
      <c r="L114" s="267">
        <v>0</v>
      </c>
      <c r="M114" s="270"/>
      <c r="N114" s="267">
        <v>0</v>
      </c>
      <c r="O114" s="267">
        <v>0</v>
      </c>
      <c r="P114" s="271"/>
      <c r="Q114" s="267">
        <v>0</v>
      </c>
      <c r="R114" s="267">
        <v>0</v>
      </c>
    </row>
    <row r="115" spans="1:18" ht="12.75">
      <c r="A115" s="246">
        <f t="shared" si="3"/>
        <v>43386</v>
      </c>
      <c r="B115" s="265">
        <v>0</v>
      </c>
      <c r="C115" s="266">
        <v>0</v>
      </c>
      <c r="E115" s="267">
        <v>0</v>
      </c>
      <c r="F115" s="267">
        <v>0</v>
      </c>
      <c r="G115" s="270"/>
      <c r="H115" s="267">
        <v>0</v>
      </c>
      <c r="I115" s="267">
        <v>0</v>
      </c>
      <c r="J115" s="272"/>
      <c r="K115" s="267">
        <v>0</v>
      </c>
      <c r="L115" s="267">
        <v>0</v>
      </c>
      <c r="M115" s="270"/>
      <c r="N115" s="267">
        <v>0</v>
      </c>
      <c r="O115" s="267">
        <v>0</v>
      </c>
      <c r="P115" s="270"/>
      <c r="Q115" s="267">
        <v>0</v>
      </c>
      <c r="R115" s="267">
        <v>0</v>
      </c>
    </row>
    <row r="116" spans="1:18" ht="12.75">
      <c r="A116" s="246">
        <f t="shared" si="3"/>
        <v>43417</v>
      </c>
      <c r="B116" s="265">
        <v>0</v>
      </c>
      <c r="C116" s="266">
        <v>0</v>
      </c>
      <c r="E116" s="267">
        <v>0</v>
      </c>
      <c r="F116" s="267">
        <v>0</v>
      </c>
      <c r="G116" s="270"/>
      <c r="H116" s="267">
        <v>0</v>
      </c>
      <c r="I116" s="267">
        <v>0</v>
      </c>
      <c r="J116" s="270"/>
      <c r="K116" s="267">
        <v>0</v>
      </c>
      <c r="L116" s="267">
        <v>0</v>
      </c>
      <c r="M116" s="270"/>
      <c r="N116" s="267">
        <v>0</v>
      </c>
      <c r="O116" s="267">
        <v>0</v>
      </c>
      <c r="P116" s="270"/>
      <c r="Q116" s="267">
        <v>0</v>
      </c>
      <c r="R116" s="267">
        <v>0</v>
      </c>
    </row>
    <row r="117" spans="1:18" ht="12.75">
      <c r="A117" s="246">
        <f t="shared" si="3"/>
        <v>43447</v>
      </c>
      <c r="B117" s="265">
        <v>0</v>
      </c>
      <c r="C117" s="266">
        <v>0</v>
      </c>
      <c r="E117" s="267">
        <v>0</v>
      </c>
      <c r="F117" s="267">
        <v>0</v>
      </c>
      <c r="G117" s="270"/>
      <c r="H117" s="267">
        <v>0</v>
      </c>
      <c r="I117" s="267">
        <v>0</v>
      </c>
      <c r="J117" s="270"/>
      <c r="K117" s="267">
        <v>0</v>
      </c>
      <c r="L117" s="267">
        <v>0</v>
      </c>
      <c r="M117" s="270"/>
      <c r="N117" s="267">
        <v>0</v>
      </c>
      <c r="O117" s="267">
        <v>0</v>
      </c>
      <c r="P117" s="270"/>
      <c r="Q117" s="267">
        <v>0</v>
      </c>
      <c r="R117" s="267">
        <v>0</v>
      </c>
    </row>
    <row r="118" spans="1:18" ht="12.75">
      <c r="A118" s="246">
        <f t="shared" si="3"/>
        <v>43478</v>
      </c>
      <c r="B118" s="265">
        <v>0</v>
      </c>
      <c r="C118" s="266">
        <v>0</v>
      </c>
      <c r="E118" s="267">
        <v>0</v>
      </c>
      <c r="F118" s="267">
        <v>0</v>
      </c>
      <c r="G118" s="272"/>
      <c r="H118" s="267">
        <v>0</v>
      </c>
      <c r="I118" s="267">
        <v>0</v>
      </c>
      <c r="J118" s="270"/>
      <c r="K118" s="267">
        <v>0</v>
      </c>
      <c r="L118" s="267">
        <v>0</v>
      </c>
      <c r="M118" s="270"/>
      <c r="N118" s="267">
        <v>0</v>
      </c>
      <c r="O118" s="267">
        <v>0</v>
      </c>
      <c r="P118" s="272"/>
      <c r="Q118" s="267">
        <v>0</v>
      </c>
      <c r="R118" s="267">
        <v>0</v>
      </c>
    </row>
    <row r="119" spans="1:18" ht="12.75">
      <c r="A119" s="246">
        <f t="shared" si="3"/>
        <v>43509</v>
      </c>
      <c r="B119" s="265">
        <v>0</v>
      </c>
      <c r="C119" s="266">
        <v>0</v>
      </c>
      <c r="E119" s="267">
        <v>0</v>
      </c>
      <c r="F119" s="267">
        <v>0</v>
      </c>
      <c r="G119" s="272"/>
      <c r="H119" s="267">
        <v>0</v>
      </c>
      <c r="I119" s="267">
        <v>0</v>
      </c>
      <c r="J119" s="270"/>
      <c r="K119" s="267">
        <v>0</v>
      </c>
      <c r="L119" s="267">
        <v>0</v>
      </c>
      <c r="M119" s="273"/>
      <c r="N119" s="267">
        <v>0</v>
      </c>
      <c r="O119" s="267">
        <v>0</v>
      </c>
      <c r="P119" s="270"/>
      <c r="Q119" s="267">
        <v>0</v>
      </c>
      <c r="R119" s="267">
        <v>0</v>
      </c>
    </row>
    <row r="120" spans="1:18" ht="12.75">
      <c r="A120" s="246">
        <f t="shared" si="3"/>
        <v>43537</v>
      </c>
      <c r="B120" s="265">
        <v>0</v>
      </c>
      <c r="C120" s="266">
        <v>0</v>
      </c>
      <c r="E120" s="267">
        <v>0</v>
      </c>
      <c r="F120" s="267">
        <v>0</v>
      </c>
      <c r="G120" s="270"/>
      <c r="H120" s="267">
        <v>0</v>
      </c>
      <c r="I120" s="267">
        <v>0</v>
      </c>
      <c r="J120" s="270"/>
      <c r="K120" s="267">
        <v>0</v>
      </c>
      <c r="L120" s="267">
        <v>0</v>
      </c>
      <c r="M120" s="272"/>
      <c r="N120" s="267">
        <v>0</v>
      </c>
      <c r="O120" s="267">
        <v>0</v>
      </c>
      <c r="P120" s="270"/>
      <c r="Q120" s="267">
        <v>0</v>
      </c>
      <c r="R120" s="267">
        <v>0</v>
      </c>
    </row>
    <row r="121" spans="1:18" ht="12.75">
      <c r="A121" s="246">
        <f t="shared" si="3"/>
        <v>43568</v>
      </c>
      <c r="B121" s="265">
        <v>0</v>
      </c>
      <c r="C121" s="266">
        <v>0</v>
      </c>
      <c r="E121" s="267">
        <v>0</v>
      </c>
      <c r="F121" s="267">
        <v>0</v>
      </c>
      <c r="G121" s="272"/>
      <c r="H121" s="267">
        <v>0</v>
      </c>
      <c r="I121" s="267">
        <v>0</v>
      </c>
      <c r="J121" s="272"/>
      <c r="K121" s="267">
        <v>0</v>
      </c>
      <c r="L121" s="267">
        <v>0</v>
      </c>
      <c r="M121" s="270"/>
      <c r="N121" s="267">
        <v>0</v>
      </c>
      <c r="O121" s="267">
        <v>0</v>
      </c>
      <c r="P121" s="270"/>
      <c r="Q121" s="267">
        <v>0</v>
      </c>
      <c r="R121" s="267">
        <v>0</v>
      </c>
    </row>
    <row r="122" spans="1:18" ht="12.75">
      <c r="A122" s="246">
        <f t="shared" si="3"/>
        <v>43598</v>
      </c>
      <c r="B122" s="265">
        <v>0</v>
      </c>
      <c r="C122" s="266">
        <v>0</v>
      </c>
      <c r="E122" s="267">
        <v>0</v>
      </c>
      <c r="F122" s="267">
        <v>0</v>
      </c>
      <c r="G122" s="270"/>
      <c r="H122" s="267">
        <v>0</v>
      </c>
      <c r="I122" s="267">
        <v>0</v>
      </c>
      <c r="J122" s="270"/>
      <c r="K122" s="267">
        <v>0</v>
      </c>
      <c r="L122" s="267">
        <v>0</v>
      </c>
      <c r="M122" s="270"/>
      <c r="N122" s="267">
        <v>0</v>
      </c>
      <c r="O122" s="267">
        <v>0</v>
      </c>
      <c r="P122" s="270"/>
      <c r="Q122" s="267">
        <v>0</v>
      </c>
      <c r="R122" s="267">
        <v>0</v>
      </c>
    </row>
    <row r="123" spans="1:18" ht="12.75">
      <c r="A123" s="246">
        <f t="shared" si="3"/>
        <v>43629</v>
      </c>
      <c r="B123" s="265">
        <v>0</v>
      </c>
      <c r="C123" s="266">
        <v>0</v>
      </c>
      <c r="E123" s="267">
        <v>0</v>
      </c>
      <c r="F123" s="267">
        <v>0</v>
      </c>
      <c r="G123" s="270"/>
      <c r="H123" s="267">
        <v>0</v>
      </c>
      <c r="I123" s="267">
        <v>0</v>
      </c>
      <c r="J123" s="270"/>
      <c r="K123" s="267">
        <v>0</v>
      </c>
      <c r="L123" s="267">
        <v>0</v>
      </c>
      <c r="M123" s="270"/>
      <c r="N123" s="267">
        <v>0</v>
      </c>
      <c r="O123" s="267">
        <v>0</v>
      </c>
      <c r="P123" s="270"/>
      <c r="Q123" s="267">
        <v>0</v>
      </c>
      <c r="R123" s="267">
        <v>0</v>
      </c>
    </row>
    <row r="124" spans="1:18" ht="12.75">
      <c r="A124" s="246">
        <f t="shared" si="3"/>
        <v>43659</v>
      </c>
      <c r="B124" s="265">
        <v>0</v>
      </c>
      <c r="C124" s="266">
        <v>0</v>
      </c>
      <c r="E124" s="267">
        <v>0</v>
      </c>
      <c r="F124" s="267">
        <v>0</v>
      </c>
      <c r="G124" s="270"/>
      <c r="H124" s="267">
        <v>0</v>
      </c>
      <c r="I124" s="267">
        <v>0</v>
      </c>
      <c r="J124" s="270"/>
      <c r="K124" s="267">
        <v>0</v>
      </c>
      <c r="L124" s="267">
        <v>0</v>
      </c>
      <c r="M124" s="270"/>
      <c r="N124" s="267">
        <v>0</v>
      </c>
      <c r="O124" s="267">
        <v>0</v>
      </c>
      <c r="P124" s="270"/>
      <c r="Q124" s="267">
        <v>0</v>
      </c>
      <c r="R124" s="267">
        <v>0</v>
      </c>
    </row>
    <row r="125" spans="1:18" ht="12.75">
      <c r="A125" s="246">
        <f t="shared" si="3"/>
        <v>43690</v>
      </c>
      <c r="B125" s="265">
        <v>0</v>
      </c>
      <c r="C125" s="266">
        <v>0</v>
      </c>
      <c r="E125" s="267">
        <v>0</v>
      </c>
      <c r="F125" s="267">
        <v>0</v>
      </c>
      <c r="G125" s="270"/>
      <c r="H125" s="267">
        <v>0</v>
      </c>
      <c r="I125" s="267">
        <v>0</v>
      </c>
      <c r="J125" s="270"/>
      <c r="K125" s="267">
        <v>0</v>
      </c>
      <c r="L125" s="267">
        <v>0</v>
      </c>
      <c r="M125" s="270"/>
      <c r="N125" s="267">
        <v>0</v>
      </c>
      <c r="O125" s="267">
        <v>0</v>
      </c>
      <c r="P125" s="270"/>
      <c r="Q125" s="267">
        <v>0</v>
      </c>
      <c r="R125" s="267">
        <v>0</v>
      </c>
    </row>
    <row r="126" spans="1:18" ht="12.75">
      <c r="A126" s="246">
        <f t="shared" si="3"/>
        <v>43721</v>
      </c>
      <c r="B126" s="265">
        <v>0</v>
      </c>
      <c r="C126" s="266">
        <v>0</v>
      </c>
      <c r="E126" s="267">
        <v>0</v>
      </c>
      <c r="F126" s="267">
        <v>0</v>
      </c>
      <c r="G126" s="270"/>
      <c r="H126" s="267">
        <v>0</v>
      </c>
      <c r="I126" s="267">
        <v>0</v>
      </c>
      <c r="J126" s="270"/>
      <c r="K126" s="267">
        <v>0</v>
      </c>
      <c r="L126" s="267">
        <v>0</v>
      </c>
      <c r="M126" s="270"/>
      <c r="N126" s="267">
        <v>0</v>
      </c>
      <c r="O126" s="267">
        <v>0</v>
      </c>
      <c r="P126" s="270"/>
      <c r="Q126" s="267">
        <v>0</v>
      </c>
      <c r="R126" s="267">
        <v>0</v>
      </c>
    </row>
    <row r="127" spans="1:18" ht="12.75">
      <c r="A127" s="246">
        <f t="shared" si="3"/>
        <v>43751</v>
      </c>
      <c r="B127" s="265">
        <v>0</v>
      </c>
      <c r="C127" s="266">
        <v>0</v>
      </c>
      <c r="E127" s="267">
        <v>0</v>
      </c>
      <c r="F127" s="267">
        <v>0</v>
      </c>
      <c r="G127" s="270"/>
      <c r="H127" s="267">
        <v>0</v>
      </c>
      <c r="I127" s="267">
        <v>0</v>
      </c>
      <c r="J127" s="270"/>
      <c r="K127" s="267">
        <v>0</v>
      </c>
      <c r="L127" s="267">
        <v>0</v>
      </c>
      <c r="M127" s="271"/>
      <c r="N127" s="267">
        <v>0</v>
      </c>
      <c r="O127" s="267">
        <v>0</v>
      </c>
      <c r="P127" s="270"/>
      <c r="Q127" s="267">
        <v>0</v>
      </c>
      <c r="R127" s="267">
        <v>0</v>
      </c>
    </row>
    <row r="128" spans="1:18" ht="12.75">
      <c r="A128" s="246">
        <f t="shared" si="3"/>
        <v>43782</v>
      </c>
      <c r="B128" s="265">
        <v>0</v>
      </c>
      <c r="C128" s="266">
        <v>0</v>
      </c>
      <c r="E128" s="267">
        <v>0</v>
      </c>
      <c r="F128" s="267">
        <v>0</v>
      </c>
      <c r="G128" s="270"/>
      <c r="H128" s="267">
        <v>0</v>
      </c>
      <c r="I128" s="267">
        <v>0</v>
      </c>
      <c r="J128" s="270"/>
      <c r="K128" s="267">
        <v>0</v>
      </c>
      <c r="L128" s="267">
        <v>0</v>
      </c>
      <c r="M128" s="270"/>
      <c r="N128" s="267">
        <v>0</v>
      </c>
      <c r="O128" s="267">
        <v>0</v>
      </c>
      <c r="P128" s="270"/>
      <c r="Q128" s="267">
        <v>0</v>
      </c>
      <c r="R128" s="267">
        <v>0</v>
      </c>
    </row>
    <row r="129" spans="1:18" ht="12.75">
      <c r="A129" s="246">
        <f t="shared" si="3"/>
        <v>43812</v>
      </c>
      <c r="B129" s="265">
        <v>0</v>
      </c>
      <c r="C129" s="266">
        <v>0</v>
      </c>
      <c r="E129" s="267">
        <v>0</v>
      </c>
      <c r="F129" s="267">
        <v>0</v>
      </c>
      <c r="G129" s="270"/>
      <c r="H129" s="267">
        <v>0</v>
      </c>
      <c r="I129" s="267">
        <v>0</v>
      </c>
      <c r="J129" s="270"/>
      <c r="K129" s="267">
        <v>0</v>
      </c>
      <c r="L129" s="267">
        <v>0</v>
      </c>
      <c r="M129" s="270"/>
      <c r="N129" s="267">
        <v>0</v>
      </c>
      <c r="O129" s="267">
        <v>0</v>
      </c>
      <c r="P129" s="270"/>
      <c r="Q129" s="267">
        <v>0</v>
      </c>
      <c r="R129" s="267">
        <v>0</v>
      </c>
    </row>
    <row r="130" spans="1:18" ht="12.75">
      <c r="A130" s="246">
        <f t="shared" si="3"/>
        <v>43843</v>
      </c>
      <c r="B130" s="265">
        <v>0</v>
      </c>
      <c r="C130" s="266">
        <v>0</v>
      </c>
      <c r="E130" s="267">
        <v>0</v>
      </c>
      <c r="F130" s="267">
        <v>0</v>
      </c>
      <c r="G130" s="270"/>
      <c r="H130" s="267">
        <v>0</v>
      </c>
      <c r="I130" s="267">
        <v>0</v>
      </c>
      <c r="J130" s="270"/>
      <c r="K130" s="267">
        <v>0</v>
      </c>
      <c r="L130" s="267">
        <v>0</v>
      </c>
      <c r="M130" s="270"/>
      <c r="N130" s="267">
        <v>0</v>
      </c>
      <c r="O130" s="267">
        <v>0</v>
      </c>
      <c r="P130" s="270"/>
      <c r="Q130" s="267">
        <v>0</v>
      </c>
      <c r="R130" s="267">
        <v>0</v>
      </c>
    </row>
    <row r="131" spans="1:18" ht="12.75">
      <c r="A131" s="246">
        <f t="shared" si="3"/>
        <v>43874</v>
      </c>
      <c r="B131" s="265">
        <v>0</v>
      </c>
      <c r="C131" s="266">
        <v>0</v>
      </c>
      <c r="E131" s="267">
        <v>0</v>
      </c>
      <c r="F131" s="267">
        <v>0</v>
      </c>
      <c r="G131" s="270"/>
      <c r="H131" s="267">
        <v>0</v>
      </c>
      <c r="I131" s="267">
        <v>0</v>
      </c>
      <c r="J131" s="270"/>
      <c r="K131" s="267">
        <v>0</v>
      </c>
      <c r="L131" s="267">
        <v>0</v>
      </c>
      <c r="M131" s="270"/>
      <c r="N131" s="267">
        <v>0</v>
      </c>
      <c r="O131" s="267">
        <v>0</v>
      </c>
      <c r="P131" s="270"/>
      <c r="Q131" s="267">
        <v>0</v>
      </c>
      <c r="R131" s="267">
        <v>0</v>
      </c>
    </row>
    <row r="132" spans="1:18" ht="12.75">
      <c r="A132" s="246">
        <f aca="true" t="shared" si="4" ref="A132:A163">+_XLL.FECHA.MES(A131,1)</f>
        <v>43903</v>
      </c>
      <c r="B132" s="265">
        <v>0</v>
      </c>
      <c r="C132" s="266">
        <v>0</v>
      </c>
      <c r="E132" s="267">
        <v>0</v>
      </c>
      <c r="F132" s="267">
        <v>0</v>
      </c>
      <c r="G132" s="270"/>
      <c r="H132" s="267">
        <v>0</v>
      </c>
      <c r="I132" s="267">
        <v>0</v>
      </c>
      <c r="J132" s="270"/>
      <c r="K132" s="267">
        <v>0</v>
      </c>
      <c r="L132" s="267">
        <v>0</v>
      </c>
      <c r="M132" s="270"/>
      <c r="N132" s="267">
        <v>0</v>
      </c>
      <c r="O132" s="267">
        <v>0</v>
      </c>
      <c r="P132" s="270"/>
      <c r="Q132" s="267">
        <v>0</v>
      </c>
      <c r="R132" s="267">
        <v>0</v>
      </c>
    </row>
    <row r="133" spans="1:18" ht="12.75">
      <c r="A133" s="246">
        <f t="shared" si="4"/>
        <v>43934</v>
      </c>
      <c r="B133" s="265">
        <v>0</v>
      </c>
      <c r="C133" s="266">
        <v>0</v>
      </c>
      <c r="E133" s="267">
        <v>0</v>
      </c>
      <c r="F133" s="267">
        <v>0</v>
      </c>
      <c r="G133" s="270"/>
      <c r="H133" s="267">
        <v>0</v>
      </c>
      <c r="I133" s="267">
        <v>0</v>
      </c>
      <c r="J133" s="270"/>
      <c r="K133" s="267">
        <v>0</v>
      </c>
      <c r="L133" s="267">
        <v>0</v>
      </c>
      <c r="M133" s="270"/>
      <c r="N133" s="267">
        <v>0</v>
      </c>
      <c r="O133" s="267">
        <v>0</v>
      </c>
      <c r="P133" s="270"/>
      <c r="Q133" s="267">
        <v>0</v>
      </c>
      <c r="R133" s="267">
        <v>0</v>
      </c>
    </row>
    <row r="134" spans="1:18" ht="12.75">
      <c r="A134" s="246">
        <f t="shared" si="4"/>
        <v>43964</v>
      </c>
      <c r="B134" s="265">
        <v>0</v>
      </c>
      <c r="C134" s="266">
        <v>0</v>
      </c>
      <c r="E134" s="267">
        <v>0</v>
      </c>
      <c r="F134" s="267">
        <v>0</v>
      </c>
      <c r="G134" s="270"/>
      <c r="H134" s="267">
        <v>0</v>
      </c>
      <c r="I134" s="267">
        <v>0</v>
      </c>
      <c r="J134" s="270"/>
      <c r="K134" s="267">
        <v>0</v>
      </c>
      <c r="L134" s="267">
        <v>0</v>
      </c>
      <c r="M134" s="270"/>
      <c r="N134" s="267">
        <v>0</v>
      </c>
      <c r="O134" s="267">
        <v>0</v>
      </c>
      <c r="P134" s="270"/>
      <c r="Q134" s="267">
        <v>0</v>
      </c>
      <c r="R134" s="267">
        <v>0</v>
      </c>
    </row>
    <row r="135" spans="1:18" ht="12.75">
      <c r="A135" s="246">
        <f t="shared" si="4"/>
        <v>43995</v>
      </c>
      <c r="B135" s="265">
        <v>0</v>
      </c>
      <c r="C135" s="266">
        <v>0</v>
      </c>
      <c r="E135" s="267">
        <v>0</v>
      </c>
      <c r="F135" s="267">
        <v>0</v>
      </c>
      <c r="G135" s="270"/>
      <c r="H135" s="267">
        <v>0</v>
      </c>
      <c r="I135" s="267">
        <v>0</v>
      </c>
      <c r="J135" s="270"/>
      <c r="K135" s="267">
        <v>0</v>
      </c>
      <c r="L135" s="267">
        <v>0</v>
      </c>
      <c r="M135" s="270"/>
      <c r="N135" s="267">
        <v>0</v>
      </c>
      <c r="O135" s="267">
        <v>0</v>
      </c>
      <c r="P135" s="270"/>
      <c r="Q135" s="267">
        <v>0</v>
      </c>
      <c r="R135" s="267">
        <v>0</v>
      </c>
    </row>
    <row r="136" spans="1:18" ht="12.75">
      <c r="A136" s="246">
        <f t="shared" si="4"/>
        <v>44025</v>
      </c>
      <c r="B136" s="265">
        <v>0</v>
      </c>
      <c r="C136" s="266">
        <v>0</v>
      </c>
      <c r="E136" s="267">
        <v>0</v>
      </c>
      <c r="F136" s="267">
        <v>0</v>
      </c>
      <c r="G136" s="270"/>
      <c r="H136" s="267">
        <v>0</v>
      </c>
      <c r="I136" s="267">
        <v>0</v>
      </c>
      <c r="J136" s="270"/>
      <c r="K136" s="267">
        <v>0</v>
      </c>
      <c r="L136" s="267">
        <v>0</v>
      </c>
      <c r="M136" s="270"/>
      <c r="N136" s="267">
        <v>0</v>
      </c>
      <c r="O136" s="267">
        <v>0</v>
      </c>
      <c r="P136" s="270"/>
      <c r="Q136" s="267">
        <v>0</v>
      </c>
      <c r="R136" s="267">
        <v>0</v>
      </c>
    </row>
    <row r="137" spans="1:18" ht="12.75">
      <c r="A137" s="246">
        <f t="shared" si="4"/>
        <v>44056</v>
      </c>
      <c r="B137" s="265">
        <v>0</v>
      </c>
      <c r="C137" s="266">
        <v>0</v>
      </c>
      <c r="E137" s="267">
        <v>0</v>
      </c>
      <c r="F137" s="267">
        <v>0</v>
      </c>
      <c r="G137" s="270"/>
      <c r="H137" s="267">
        <v>0</v>
      </c>
      <c r="I137" s="267">
        <v>0</v>
      </c>
      <c r="J137" s="270"/>
      <c r="K137" s="267">
        <v>0</v>
      </c>
      <c r="L137" s="267">
        <v>0</v>
      </c>
      <c r="M137" s="270"/>
      <c r="N137" s="267">
        <v>0</v>
      </c>
      <c r="O137" s="267">
        <v>0</v>
      </c>
      <c r="P137" s="270"/>
      <c r="Q137" s="267">
        <v>0</v>
      </c>
      <c r="R137" s="267">
        <v>0</v>
      </c>
    </row>
    <row r="138" spans="1:18" ht="12.75">
      <c r="A138" s="246">
        <f t="shared" si="4"/>
        <v>44087</v>
      </c>
      <c r="B138" s="265">
        <v>0</v>
      </c>
      <c r="C138" s="266">
        <v>0</v>
      </c>
      <c r="E138" s="267">
        <v>0</v>
      </c>
      <c r="F138" s="267">
        <v>0</v>
      </c>
      <c r="G138" s="270"/>
      <c r="H138" s="267">
        <v>0</v>
      </c>
      <c r="I138" s="267">
        <v>0</v>
      </c>
      <c r="J138" s="271"/>
      <c r="K138" s="267">
        <v>0</v>
      </c>
      <c r="L138" s="267">
        <v>0</v>
      </c>
      <c r="M138" s="270"/>
      <c r="N138" s="267">
        <v>0</v>
      </c>
      <c r="O138" s="267">
        <v>0</v>
      </c>
      <c r="P138" s="270"/>
      <c r="Q138" s="267">
        <v>0</v>
      </c>
      <c r="R138" s="267">
        <v>0</v>
      </c>
    </row>
    <row r="139" spans="1:18" ht="12.75">
      <c r="A139" s="246">
        <f t="shared" si="4"/>
        <v>44117</v>
      </c>
      <c r="B139" s="265">
        <v>0</v>
      </c>
      <c r="C139" s="266">
        <v>0</v>
      </c>
      <c r="E139" s="267">
        <v>0</v>
      </c>
      <c r="F139" s="267">
        <v>0</v>
      </c>
      <c r="G139" s="270"/>
      <c r="H139" s="267">
        <v>0</v>
      </c>
      <c r="I139" s="267">
        <v>0</v>
      </c>
      <c r="J139" s="270"/>
      <c r="K139" s="267">
        <v>0</v>
      </c>
      <c r="L139" s="267">
        <v>0</v>
      </c>
      <c r="M139" s="270"/>
      <c r="N139" s="267">
        <v>0</v>
      </c>
      <c r="O139" s="267">
        <v>0</v>
      </c>
      <c r="P139" s="270"/>
      <c r="Q139" s="267">
        <v>0</v>
      </c>
      <c r="R139" s="267">
        <v>0</v>
      </c>
    </row>
    <row r="140" spans="1:18" ht="12.75">
      <c r="A140" s="246">
        <f t="shared" si="4"/>
        <v>44148</v>
      </c>
      <c r="B140" s="265">
        <v>0</v>
      </c>
      <c r="C140" s="266">
        <v>0</v>
      </c>
      <c r="E140" s="267">
        <v>0</v>
      </c>
      <c r="F140" s="267">
        <v>0</v>
      </c>
      <c r="G140" s="270"/>
      <c r="H140" s="267">
        <v>0</v>
      </c>
      <c r="I140" s="267">
        <v>0</v>
      </c>
      <c r="J140" s="270"/>
      <c r="K140" s="267">
        <v>0</v>
      </c>
      <c r="L140" s="267">
        <v>0</v>
      </c>
      <c r="M140" s="270"/>
      <c r="N140" s="267">
        <v>0</v>
      </c>
      <c r="O140" s="267">
        <v>0</v>
      </c>
      <c r="P140" s="270"/>
      <c r="Q140" s="267">
        <v>0</v>
      </c>
      <c r="R140" s="267">
        <v>0</v>
      </c>
    </row>
    <row r="141" spans="1:18" ht="12.75">
      <c r="A141" s="246">
        <f t="shared" si="4"/>
        <v>44178</v>
      </c>
      <c r="B141" s="265">
        <v>0</v>
      </c>
      <c r="C141" s="266">
        <v>0</v>
      </c>
      <c r="E141" s="267">
        <v>0</v>
      </c>
      <c r="F141" s="267">
        <v>0</v>
      </c>
      <c r="G141" s="270"/>
      <c r="H141" s="267">
        <v>0</v>
      </c>
      <c r="I141" s="267">
        <v>0</v>
      </c>
      <c r="J141" s="270"/>
      <c r="K141" s="267">
        <v>0</v>
      </c>
      <c r="L141" s="267">
        <v>0</v>
      </c>
      <c r="M141" s="270"/>
      <c r="N141" s="267">
        <v>0</v>
      </c>
      <c r="O141" s="267">
        <v>0</v>
      </c>
      <c r="P141" s="270"/>
      <c r="Q141" s="267">
        <v>0</v>
      </c>
      <c r="R141" s="267">
        <v>0</v>
      </c>
    </row>
    <row r="142" spans="1:18" ht="12.75">
      <c r="A142" s="246">
        <f t="shared" si="4"/>
        <v>44209</v>
      </c>
      <c r="B142" s="265">
        <v>0</v>
      </c>
      <c r="C142" s="266">
        <v>0</v>
      </c>
      <c r="E142" s="267">
        <v>0</v>
      </c>
      <c r="F142" s="267">
        <v>0</v>
      </c>
      <c r="G142" s="270"/>
      <c r="H142" s="267">
        <v>0</v>
      </c>
      <c r="I142" s="267">
        <v>0</v>
      </c>
      <c r="J142" s="270"/>
      <c r="K142" s="267">
        <v>0</v>
      </c>
      <c r="L142" s="267">
        <v>0</v>
      </c>
      <c r="M142" s="270"/>
      <c r="N142" s="267">
        <v>0</v>
      </c>
      <c r="O142" s="267">
        <v>0</v>
      </c>
      <c r="P142" s="270"/>
      <c r="Q142" s="267">
        <v>0</v>
      </c>
      <c r="R142" s="267">
        <v>0</v>
      </c>
    </row>
    <row r="143" spans="1:18" ht="12.75">
      <c r="A143" s="246">
        <f t="shared" si="4"/>
        <v>44240</v>
      </c>
      <c r="B143" s="265">
        <v>0</v>
      </c>
      <c r="C143" s="266">
        <v>0</v>
      </c>
      <c r="E143" s="267">
        <v>0</v>
      </c>
      <c r="F143" s="267">
        <v>0</v>
      </c>
      <c r="G143" s="270"/>
      <c r="H143" s="267">
        <v>0</v>
      </c>
      <c r="I143" s="267">
        <v>0</v>
      </c>
      <c r="J143" s="270"/>
      <c r="K143" s="267">
        <v>0</v>
      </c>
      <c r="L143" s="267">
        <v>0</v>
      </c>
      <c r="M143" s="270"/>
      <c r="N143" s="267">
        <v>0</v>
      </c>
      <c r="O143" s="267">
        <v>0</v>
      </c>
      <c r="P143" s="270"/>
      <c r="Q143" s="267">
        <v>0</v>
      </c>
      <c r="R143" s="267">
        <v>0</v>
      </c>
    </row>
    <row r="144" spans="1:18" ht="12.75">
      <c r="A144" s="246">
        <f t="shared" si="4"/>
        <v>44268</v>
      </c>
      <c r="B144" s="265">
        <v>0</v>
      </c>
      <c r="C144" s="266">
        <v>0</v>
      </c>
      <c r="E144" s="267">
        <v>0</v>
      </c>
      <c r="F144" s="267">
        <v>0</v>
      </c>
      <c r="G144" s="270"/>
      <c r="H144" s="267">
        <v>0</v>
      </c>
      <c r="I144" s="267">
        <v>0</v>
      </c>
      <c r="J144" s="270"/>
      <c r="K144" s="267">
        <v>0</v>
      </c>
      <c r="L144" s="267">
        <v>0</v>
      </c>
      <c r="M144" s="270"/>
      <c r="N144" s="267">
        <v>0</v>
      </c>
      <c r="O144" s="267">
        <v>0</v>
      </c>
      <c r="P144" s="270"/>
      <c r="Q144" s="267">
        <v>0</v>
      </c>
      <c r="R144" s="267">
        <v>0</v>
      </c>
    </row>
    <row r="145" spans="1:18" ht="12.75">
      <c r="A145" s="246">
        <f t="shared" si="4"/>
        <v>44299</v>
      </c>
      <c r="B145" s="265">
        <v>0</v>
      </c>
      <c r="C145" s="266">
        <v>0</v>
      </c>
      <c r="E145" s="267">
        <v>0</v>
      </c>
      <c r="F145" s="267">
        <v>0</v>
      </c>
      <c r="G145" s="270"/>
      <c r="H145" s="267">
        <v>0</v>
      </c>
      <c r="I145" s="267">
        <v>0</v>
      </c>
      <c r="J145" s="270"/>
      <c r="K145" s="267">
        <v>0</v>
      </c>
      <c r="L145" s="267">
        <v>0</v>
      </c>
      <c r="M145" s="270"/>
      <c r="N145" s="267">
        <v>0</v>
      </c>
      <c r="O145" s="267">
        <v>0</v>
      </c>
      <c r="P145" s="270"/>
      <c r="Q145" s="267">
        <v>0</v>
      </c>
      <c r="R145" s="267">
        <v>0</v>
      </c>
    </row>
    <row r="146" spans="1:18" ht="12.75">
      <c r="A146" s="246">
        <f t="shared" si="4"/>
        <v>44329</v>
      </c>
      <c r="B146" s="265">
        <v>0</v>
      </c>
      <c r="C146" s="266">
        <v>0</v>
      </c>
      <c r="E146" s="267">
        <v>0</v>
      </c>
      <c r="F146" s="267">
        <v>0</v>
      </c>
      <c r="G146" s="271"/>
      <c r="H146" s="267">
        <v>0</v>
      </c>
      <c r="I146" s="267">
        <v>0</v>
      </c>
      <c r="J146" s="271"/>
      <c r="K146" s="267">
        <v>0</v>
      </c>
      <c r="L146" s="267">
        <v>0</v>
      </c>
      <c r="M146" s="271"/>
      <c r="N146" s="267">
        <v>0</v>
      </c>
      <c r="O146" s="267">
        <v>0</v>
      </c>
      <c r="P146" s="271"/>
      <c r="Q146" s="267">
        <v>0</v>
      </c>
      <c r="R146" s="267">
        <v>0</v>
      </c>
    </row>
    <row r="147" spans="1:18" ht="12.75">
      <c r="A147" s="246">
        <f t="shared" si="4"/>
        <v>44360</v>
      </c>
      <c r="B147" s="265">
        <v>0</v>
      </c>
      <c r="C147" s="266">
        <v>0</v>
      </c>
      <c r="E147" s="267">
        <v>0</v>
      </c>
      <c r="F147" s="267">
        <v>0</v>
      </c>
      <c r="G147" s="270"/>
      <c r="H147" s="267">
        <v>0</v>
      </c>
      <c r="I147" s="267">
        <v>0</v>
      </c>
      <c r="J147" s="270"/>
      <c r="K147" s="267">
        <v>0</v>
      </c>
      <c r="L147" s="267">
        <v>0</v>
      </c>
      <c r="M147" s="270"/>
      <c r="N147" s="267">
        <v>0</v>
      </c>
      <c r="O147" s="267">
        <v>0</v>
      </c>
      <c r="P147" s="270"/>
      <c r="Q147" s="267">
        <v>0</v>
      </c>
      <c r="R147" s="267">
        <v>0</v>
      </c>
    </row>
    <row r="148" spans="1:18" ht="12.75">
      <c r="A148" s="246">
        <f t="shared" si="4"/>
        <v>44390</v>
      </c>
      <c r="B148" s="265">
        <v>0</v>
      </c>
      <c r="C148" s="266">
        <v>0</v>
      </c>
      <c r="E148" s="267">
        <v>0</v>
      </c>
      <c r="F148" s="267">
        <v>0</v>
      </c>
      <c r="G148" s="271"/>
      <c r="H148" s="267">
        <v>0</v>
      </c>
      <c r="I148" s="267">
        <v>0</v>
      </c>
      <c r="J148" s="270"/>
      <c r="K148" s="267">
        <v>0</v>
      </c>
      <c r="L148" s="267">
        <v>0</v>
      </c>
      <c r="M148" s="270"/>
      <c r="N148" s="267">
        <v>0</v>
      </c>
      <c r="O148" s="267">
        <v>0</v>
      </c>
      <c r="P148" s="270"/>
      <c r="Q148" s="267">
        <v>0</v>
      </c>
      <c r="R148" s="267">
        <v>0</v>
      </c>
    </row>
    <row r="149" spans="1:18" ht="12.75">
      <c r="A149" s="246">
        <f t="shared" si="4"/>
        <v>44421</v>
      </c>
      <c r="B149" s="265">
        <v>0</v>
      </c>
      <c r="C149" s="266">
        <v>0</v>
      </c>
      <c r="E149" s="267">
        <v>0</v>
      </c>
      <c r="F149" s="267">
        <v>0</v>
      </c>
      <c r="G149" s="270"/>
      <c r="H149" s="267">
        <v>0</v>
      </c>
      <c r="I149" s="267">
        <v>0</v>
      </c>
      <c r="J149" s="270"/>
      <c r="K149" s="267">
        <v>0</v>
      </c>
      <c r="L149" s="267">
        <v>0</v>
      </c>
      <c r="M149" s="270"/>
      <c r="N149" s="267">
        <v>0</v>
      </c>
      <c r="O149" s="267">
        <v>0</v>
      </c>
      <c r="P149" s="270"/>
      <c r="Q149" s="267">
        <v>0</v>
      </c>
      <c r="R149" s="267">
        <v>0</v>
      </c>
    </row>
    <row r="150" spans="1:18" ht="12.75">
      <c r="A150" s="246">
        <f t="shared" si="4"/>
        <v>44452</v>
      </c>
      <c r="B150" s="265">
        <v>0</v>
      </c>
      <c r="C150" s="266">
        <v>0</v>
      </c>
      <c r="E150" s="267">
        <v>0</v>
      </c>
      <c r="F150" s="267">
        <v>0</v>
      </c>
      <c r="G150" s="270"/>
      <c r="H150" s="267">
        <v>0</v>
      </c>
      <c r="I150" s="267">
        <v>0</v>
      </c>
      <c r="J150" s="270"/>
      <c r="K150" s="267">
        <v>0</v>
      </c>
      <c r="L150" s="267">
        <v>0</v>
      </c>
      <c r="M150" s="270"/>
      <c r="N150" s="267">
        <v>0</v>
      </c>
      <c r="O150" s="267">
        <v>0</v>
      </c>
      <c r="P150" s="270"/>
      <c r="Q150" s="267">
        <v>0</v>
      </c>
      <c r="R150" s="267">
        <v>0</v>
      </c>
    </row>
    <row r="151" spans="1:18" ht="12.75">
      <c r="A151" s="246">
        <f t="shared" si="4"/>
        <v>44482</v>
      </c>
      <c r="B151" s="265">
        <v>0</v>
      </c>
      <c r="C151" s="266">
        <v>0</v>
      </c>
      <c r="E151" s="267">
        <v>0</v>
      </c>
      <c r="F151" s="267">
        <v>0</v>
      </c>
      <c r="G151" s="270"/>
      <c r="H151" s="267">
        <v>0</v>
      </c>
      <c r="I151" s="267">
        <v>0</v>
      </c>
      <c r="J151" s="270"/>
      <c r="K151" s="267">
        <v>0</v>
      </c>
      <c r="L151" s="267">
        <v>0</v>
      </c>
      <c r="M151" s="270"/>
      <c r="N151" s="267">
        <v>0</v>
      </c>
      <c r="O151" s="267">
        <v>0</v>
      </c>
      <c r="P151" s="270"/>
      <c r="Q151" s="267">
        <v>0</v>
      </c>
      <c r="R151" s="267">
        <v>0</v>
      </c>
    </row>
    <row r="152" spans="1:18" ht="12.75">
      <c r="A152" s="246">
        <f t="shared" si="4"/>
        <v>44513</v>
      </c>
      <c r="B152" s="265">
        <v>0</v>
      </c>
      <c r="C152" s="266">
        <v>0</v>
      </c>
      <c r="E152" s="267">
        <v>0</v>
      </c>
      <c r="F152" s="267">
        <v>0</v>
      </c>
      <c r="G152" s="270"/>
      <c r="H152" s="267">
        <v>0</v>
      </c>
      <c r="I152" s="267">
        <v>0</v>
      </c>
      <c r="J152" s="270"/>
      <c r="K152" s="267">
        <v>0</v>
      </c>
      <c r="L152" s="267">
        <v>0</v>
      </c>
      <c r="M152" s="270"/>
      <c r="N152" s="267">
        <v>0</v>
      </c>
      <c r="O152" s="267">
        <v>0</v>
      </c>
      <c r="P152" s="270"/>
      <c r="Q152" s="267">
        <v>0</v>
      </c>
      <c r="R152" s="267">
        <v>0</v>
      </c>
    </row>
    <row r="153" spans="1:18" ht="12.75">
      <c r="A153" s="246">
        <f t="shared" si="4"/>
        <v>44543</v>
      </c>
      <c r="B153" s="265">
        <v>0</v>
      </c>
      <c r="C153" s="266">
        <v>0</v>
      </c>
      <c r="E153" s="267">
        <v>0</v>
      </c>
      <c r="F153" s="267">
        <v>0</v>
      </c>
      <c r="G153" s="270"/>
      <c r="H153" s="267">
        <v>0</v>
      </c>
      <c r="I153" s="267">
        <v>0</v>
      </c>
      <c r="J153" s="270"/>
      <c r="K153" s="267">
        <v>0</v>
      </c>
      <c r="L153" s="267">
        <v>0</v>
      </c>
      <c r="M153" s="270"/>
      <c r="N153" s="267">
        <v>0</v>
      </c>
      <c r="O153" s="267">
        <v>0</v>
      </c>
      <c r="P153" s="270"/>
      <c r="Q153" s="267">
        <v>0</v>
      </c>
      <c r="R153" s="267">
        <v>0</v>
      </c>
    </row>
    <row r="154" spans="1:18" ht="12.75">
      <c r="A154" s="246">
        <f t="shared" si="4"/>
        <v>44574</v>
      </c>
      <c r="B154" s="265">
        <v>0</v>
      </c>
      <c r="C154" s="266">
        <v>0</v>
      </c>
      <c r="E154" s="267">
        <v>0</v>
      </c>
      <c r="F154" s="267">
        <v>0</v>
      </c>
      <c r="G154" s="270"/>
      <c r="H154" s="267">
        <v>0</v>
      </c>
      <c r="I154" s="267">
        <v>0</v>
      </c>
      <c r="J154" s="270"/>
      <c r="K154" s="267">
        <v>0</v>
      </c>
      <c r="L154" s="267">
        <v>0</v>
      </c>
      <c r="M154" s="270"/>
      <c r="N154" s="267">
        <v>0</v>
      </c>
      <c r="O154" s="267">
        <v>0</v>
      </c>
      <c r="P154" s="270"/>
      <c r="Q154" s="267">
        <v>0</v>
      </c>
      <c r="R154" s="267">
        <v>0</v>
      </c>
    </row>
    <row r="155" spans="1:18" ht="12.75">
      <c r="A155" s="246">
        <f t="shared" si="4"/>
        <v>44605</v>
      </c>
      <c r="B155" s="265">
        <v>0</v>
      </c>
      <c r="C155" s="266">
        <v>0</v>
      </c>
      <c r="E155" s="267">
        <v>0</v>
      </c>
      <c r="F155" s="267">
        <v>0</v>
      </c>
      <c r="G155" s="270"/>
      <c r="H155" s="267">
        <v>0</v>
      </c>
      <c r="I155" s="267">
        <v>0</v>
      </c>
      <c r="J155" s="270"/>
      <c r="K155" s="267">
        <v>0</v>
      </c>
      <c r="L155" s="267">
        <v>0</v>
      </c>
      <c r="M155" s="270"/>
      <c r="N155" s="267">
        <v>0</v>
      </c>
      <c r="O155" s="267">
        <v>0</v>
      </c>
      <c r="P155" s="270"/>
      <c r="Q155" s="267">
        <v>0</v>
      </c>
      <c r="R155" s="267">
        <v>0</v>
      </c>
    </row>
    <row r="156" spans="1:18" ht="12.75">
      <c r="A156" s="246">
        <f t="shared" si="4"/>
        <v>44633</v>
      </c>
      <c r="B156" s="265">
        <v>0</v>
      </c>
      <c r="C156" s="266">
        <v>0</v>
      </c>
      <c r="E156" s="267">
        <v>0</v>
      </c>
      <c r="F156" s="267">
        <v>0</v>
      </c>
      <c r="G156" s="270"/>
      <c r="H156" s="267">
        <v>0</v>
      </c>
      <c r="I156" s="267">
        <v>0</v>
      </c>
      <c r="J156" s="270"/>
      <c r="K156" s="267">
        <v>0</v>
      </c>
      <c r="L156" s="267">
        <v>0</v>
      </c>
      <c r="M156" s="270"/>
      <c r="N156" s="267">
        <v>0</v>
      </c>
      <c r="O156" s="267">
        <v>0</v>
      </c>
      <c r="P156" s="270"/>
      <c r="Q156" s="267">
        <v>0</v>
      </c>
      <c r="R156" s="267">
        <v>0</v>
      </c>
    </row>
    <row r="157" spans="1:18" ht="12.75">
      <c r="A157" s="246">
        <f t="shared" si="4"/>
        <v>44664</v>
      </c>
      <c r="B157" s="265">
        <v>0</v>
      </c>
      <c r="C157" s="266">
        <v>0</v>
      </c>
      <c r="E157" s="267">
        <v>0</v>
      </c>
      <c r="F157" s="267">
        <v>0</v>
      </c>
      <c r="G157" s="270"/>
      <c r="H157" s="267">
        <v>0</v>
      </c>
      <c r="I157" s="267">
        <v>0</v>
      </c>
      <c r="J157" s="270"/>
      <c r="K157" s="267">
        <v>0</v>
      </c>
      <c r="L157" s="267">
        <v>0</v>
      </c>
      <c r="M157" s="270"/>
      <c r="N157" s="267">
        <v>0</v>
      </c>
      <c r="O157" s="267">
        <v>0</v>
      </c>
      <c r="P157" s="270"/>
      <c r="Q157" s="267">
        <v>0</v>
      </c>
      <c r="R157" s="267">
        <v>0</v>
      </c>
    </row>
    <row r="158" spans="1:18" ht="12.75">
      <c r="A158" s="246">
        <f t="shared" si="4"/>
        <v>44694</v>
      </c>
      <c r="B158" s="265">
        <v>0</v>
      </c>
      <c r="C158" s="266">
        <v>0</v>
      </c>
      <c r="E158" s="267">
        <v>0</v>
      </c>
      <c r="F158" s="267">
        <v>0</v>
      </c>
      <c r="G158" s="270"/>
      <c r="H158" s="267">
        <v>0</v>
      </c>
      <c r="I158" s="267">
        <v>0</v>
      </c>
      <c r="J158" s="270"/>
      <c r="K158" s="267">
        <v>0</v>
      </c>
      <c r="L158" s="267">
        <v>0</v>
      </c>
      <c r="M158" s="270"/>
      <c r="N158" s="267">
        <v>0</v>
      </c>
      <c r="O158" s="267">
        <v>0</v>
      </c>
      <c r="P158" s="270"/>
      <c r="Q158" s="267">
        <v>0</v>
      </c>
      <c r="R158" s="267">
        <v>0</v>
      </c>
    </row>
    <row r="159" spans="1:18" ht="12.75">
      <c r="A159" s="246">
        <f t="shared" si="4"/>
        <v>44725</v>
      </c>
      <c r="B159" s="265">
        <v>0</v>
      </c>
      <c r="C159" s="266">
        <v>0</v>
      </c>
      <c r="E159" s="267">
        <v>0</v>
      </c>
      <c r="F159" s="267">
        <v>0</v>
      </c>
      <c r="G159" s="270"/>
      <c r="H159" s="267">
        <v>0</v>
      </c>
      <c r="I159" s="267">
        <v>0</v>
      </c>
      <c r="J159" s="270"/>
      <c r="K159" s="267">
        <v>0</v>
      </c>
      <c r="L159" s="267">
        <v>0</v>
      </c>
      <c r="M159" s="270"/>
      <c r="N159" s="267">
        <v>0</v>
      </c>
      <c r="O159" s="267">
        <v>0</v>
      </c>
      <c r="P159" s="270"/>
      <c r="Q159" s="267">
        <v>0</v>
      </c>
      <c r="R159" s="267">
        <v>0</v>
      </c>
    </row>
    <row r="160" spans="1:18" ht="12.75">
      <c r="A160" s="246">
        <f t="shared" si="4"/>
        <v>44755</v>
      </c>
      <c r="B160" s="265">
        <v>0</v>
      </c>
      <c r="C160" s="266">
        <v>0</v>
      </c>
      <c r="E160" s="267">
        <v>0</v>
      </c>
      <c r="F160" s="267">
        <v>0</v>
      </c>
      <c r="G160" s="270"/>
      <c r="H160" s="267">
        <v>0</v>
      </c>
      <c r="I160" s="267">
        <v>0</v>
      </c>
      <c r="J160" s="270"/>
      <c r="K160" s="267">
        <v>0</v>
      </c>
      <c r="L160" s="267">
        <v>0</v>
      </c>
      <c r="M160" s="270"/>
      <c r="N160" s="267">
        <v>0</v>
      </c>
      <c r="O160" s="267">
        <v>0</v>
      </c>
      <c r="P160" s="270"/>
      <c r="Q160" s="267">
        <v>0</v>
      </c>
      <c r="R160" s="267">
        <v>0</v>
      </c>
    </row>
    <row r="161" spans="1:18" ht="12.75">
      <c r="A161" s="246">
        <f t="shared" si="4"/>
        <v>44786</v>
      </c>
      <c r="B161" s="265">
        <v>0</v>
      </c>
      <c r="C161" s="266">
        <v>0</v>
      </c>
      <c r="E161" s="267">
        <v>0</v>
      </c>
      <c r="F161" s="267">
        <v>0</v>
      </c>
      <c r="G161" s="270"/>
      <c r="H161" s="267">
        <v>0</v>
      </c>
      <c r="I161" s="267">
        <v>0</v>
      </c>
      <c r="J161" s="270"/>
      <c r="K161" s="267">
        <v>0</v>
      </c>
      <c r="L161" s="267">
        <v>0</v>
      </c>
      <c r="M161" s="270"/>
      <c r="N161" s="267">
        <v>0</v>
      </c>
      <c r="O161" s="267">
        <v>0</v>
      </c>
      <c r="P161" s="270"/>
      <c r="Q161" s="267">
        <v>0</v>
      </c>
      <c r="R161" s="267">
        <v>0</v>
      </c>
    </row>
    <row r="162" spans="1:18" ht="12.75">
      <c r="A162" s="246">
        <f t="shared" si="4"/>
        <v>44817</v>
      </c>
      <c r="B162" s="265">
        <v>0</v>
      </c>
      <c r="C162" s="266">
        <v>0</v>
      </c>
      <c r="E162" s="267">
        <v>0</v>
      </c>
      <c r="F162" s="267">
        <v>0</v>
      </c>
      <c r="G162" s="270"/>
      <c r="H162" s="267">
        <v>0</v>
      </c>
      <c r="I162" s="267">
        <v>0</v>
      </c>
      <c r="J162" s="270"/>
      <c r="K162" s="267">
        <v>0</v>
      </c>
      <c r="L162" s="267">
        <v>0</v>
      </c>
      <c r="M162" s="270"/>
      <c r="N162" s="267">
        <v>0</v>
      </c>
      <c r="O162" s="267">
        <v>0</v>
      </c>
      <c r="P162" s="270"/>
      <c r="Q162" s="267">
        <v>0</v>
      </c>
      <c r="R162" s="267">
        <v>0</v>
      </c>
    </row>
    <row r="163" spans="1:18" ht="12.75">
      <c r="A163" s="246">
        <f t="shared" si="4"/>
        <v>44847</v>
      </c>
      <c r="B163" s="265">
        <v>0</v>
      </c>
      <c r="C163" s="266">
        <v>0</v>
      </c>
      <c r="E163" s="267">
        <v>0</v>
      </c>
      <c r="F163" s="267">
        <v>0</v>
      </c>
      <c r="G163" s="270"/>
      <c r="H163" s="267">
        <v>0</v>
      </c>
      <c r="I163" s="267">
        <v>0</v>
      </c>
      <c r="J163" s="270"/>
      <c r="K163" s="267">
        <v>0</v>
      </c>
      <c r="L163" s="267">
        <v>0</v>
      </c>
      <c r="M163" s="270"/>
      <c r="N163" s="267">
        <v>0</v>
      </c>
      <c r="O163" s="267">
        <v>0</v>
      </c>
      <c r="P163" s="270"/>
      <c r="Q163" s="267">
        <v>0</v>
      </c>
      <c r="R163" s="267">
        <v>0</v>
      </c>
    </row>
    <row r="164" spans="1:18" ht="12.75">
      <c r="A164" s="246">
        <f aca="true" t="shared" si="5" ref="A164:A182">+_XLL.FECHA.MES(A163,1)</f>
        <v>44878</v>
      </c>
      <c r="B164" s="265">
        <v>0</v>
      </c>
      <c r="C164" s="266">
        <v>0</v>
      </c>
      <c r="E164" s="267">
        <v>0</v>
      </c>
      <c r="F164" s="267">
        <v>0</v>
      </c>
      <c r="G164" s="270"/>
      <c r="H164" s="267">
        <v>0</v>
      </c>
      <c r="I164" s="267">
        <v>0</v>
      </c>
      <c r="J164" s="270"/>
      <c r="K164" s="267">
        <v>0</v>
      </c>
      <c r="L164" s="267">
        <v>0</v>
      </c>
      <c r="M164" s="270"/>
      <c r="N164" s="267">
        <v>0</v>
      </c>
      <c r="O164" s="267">
        <v>0</v>
      </c>
      <c r="P164" s="270"/>
      <c r="Q164" s="267">
        <v>0</v>
      </c>
      <c r="R164" s="267">
        <v>0</v>
      </c>
    </row>
    <row r="165" spans="1:18" ht="12.75">
      <c r="A165" s="246">
        <f t="shared" si="5"/>
        <v>44908</v>
      </c>
      <c r="B165" s="265">
        <v>0</v>
      </c>
      <c r="C165" s="266">
        <v>0</v>
      </c>
      <c r="E165" s="267">
        <v>0</v>
      </c>
      <c r="F165" s="267">
        <v>0</v>
      </c>
      <c r="G165" s="270"/>
      <c r="H165" s="267">
        <v>0</v>
      </c>
      <c r="I165" s="267">
        <v>0</v>
      </c>
      <c r="J165" s="270"/>
      <c r="K165" s="267">
        <v>0</v>
      </c>
      <c r="L165" s="267">
        <v>0</v>
      </c>
      <c r="M165" s="270"/>
      <c r="N165" s="267">
        <v>0</v>
      </c>
      <c r="O165" s="267">
        <v>0</v>
      </c>
      <c r="P165" s="270"/>
      <c r="Q165" s="267">
        <v>0</v>
      </c>
      <c r="R165" s="267">
        <v>0</v>
      </c>
    </row>
    <row r="166" spans="1:18" ht="12.75">
      <c r="A166" s="246">
        <f t="shared" si="5"/>
        <v>44939</v>
      </c>
      <c r="B166" s="265">
        <v>0</v>
      </c>
      <c r="C166" s="266">
        <v>0</v>
      </c>
      <c r="E166" s="267">
        <v>0</v>
      </c>
      <c r="F166" s="267">
        <v>0</v>
      </c>
      <c r="G166" s="270"/>
      <c r="H166" s="267">
        <v>0</v>
      </c>
      <c r="I166" s="267">
        <v>0</v>
      </c>
      <c r="J166" s="270"/>
      <c r="K166" s="267">
        <v>0</v>
      </c>
      <c r="L166" s="267">
        <v>0</v>
      </c>
      <c r="M166" s="270"/>
      <c r="N166" s="267">
        <v>0</v>
      </c>
      <c r="O166" s="267">
        <v>0</v>
      </c>
      <c r="P166" s="270"/>
      <c r="Q166" s="267">
        <v>0</v>
      </c>
      <c r="R166" s="267">
        <v>0</v>
      </c>
    </row>
    <row r="167" spans="1:18" ht="12.75">
      <c r="A167" s="246">
        <f t="shared" si="5"/>
        <v>44970</v>
      </c>
      <c r="B167" s="265">
        <v>0</v>
      </c>
      <c r="C167" s="266">
        <v>0</v>
      </c>
      <c r="E167" s="267">
        <v>0</v>
      </c>
      <c r="F167" s="267">
        <v>0</v>
      </c>
      <c r="G167" s="270"/>
      <c r="H167" s="267">
        <v>0</v>
      </c>
      <c r="I167" s="267">
        <v>0</v>
      </c>
      <c r="J167" s="270"/>
      <c r="K167" s="267">
        <v>0</v>
      </c>
      <c r="L167" s="267">
        <v>0</v>
      </c>
      <c r="M167" s="270"/>
      <c r="N167" s="267">
        <v>0</v>
      </c>
      <c r="O167" s="267">
        <v>0</v>
      </c>
      <c r="P167" s="270"/>
      <c r="Q167" s="267">
        <v>0</v>
      </c>
      <c r="R167" s="267">
        <v>0</v>
      </c>
    </row>
    <row r="168" spans="1:18" ht="12.75">
      <c r="A168" s="246">
        <f t="shared" si="5"/>
        <v>44998</v>
      </c>
      <c r="B168" s="265">
        <v>0</v>
      </c>
      <c r="C168" s="266">
        <v>0</v>
      </c>
      <c r="E168" s="267">
        <v>0</v>
      </c>
      <c r="F168" s="267">
        <v>0</v>
      </c>
      <c r="G168" s="270"/>
      <c r="H168" s="267">
        <v>0</v>
      </c>
      <c r="I168" s="267">
        <v>0</v>
      </c>
      <c r="J168" s="270"/>
      <c r="K168" s="267">
        <v>0</v>
      </c>
      <c r="L168" s="267">
        <v>0</v>
      </c>
      <c r="M168" s="270"/>
      <c r="N168" s="267">
        <v>0</v>
      </c>
      <c r="O168" s="267">
        <v>0</v>
      </c>
      <c r="P168" s="270"/>
      <c r="Q168" s="267">
        <v>0</v>
      </c>
      <c r="R168" s="267">
        <v>0</v>
      </c>
    </row>
    <row r="169" spans="1:18" ht="12" customHeight="1">
      <c r="A169" s="246">
        <f t="shared" si="5"/>
        <v>45029</v>
      </c>
      <c r="B169" s="265">
        <v>0</v>
      </c>
      <c r="C169" s="266">
        <v>0</v>
      </c>
      <c r="E169" s="267">
        <v>0</v>
      </c>
      <c r="F169" s="267">
        <v>0</v>
      </c>
      <c r="G169" s="270"/>
      <c r="H169" s="267">
        <v>0</v>
      </c>
      <c r="I169" s="267">
        <v>0</v>
      </c>
      <c r="J169" s="270"/>
      <c r="K169" s="267">
        <v>0</v>
      </c>
      <c r="L169" s="267">
        <v>0</v>
      </c>
      <c r="M169" s="270"/>
      <c r="N169" s="267">
        <v>0</v>
      </c>
      <c r="O169" s="267">
        <v>0</v>
      </c>
      <c r="P169" s="270"/>
      <c r="Q169" s="267">
        <v>0</v>
      </c>
      <c r="R169" s="267">
        <v>0</v>
      </c>
    </row>
    <row r="170" spans="1:18" ht="12.75">
      <c r="A170" s="246">
        <f t="shared" si="5"/>
        <v>45059</v>
      </c>
      <c r="B170" s="265">
        <v>0</v>
      </c>
      <c r="C170" s="266">
        <v>0</v>
      </c>
      <c r="E170" s="267">
        <v>0</v>
      </c>
      <c r="F170" s="267">
        <v>0</v>
      </c>
      <c r="G170" s="270"/>
      <c r="H170" s="267">
        <v>0</v>
      </c>
      <c r="I170" s="267">
        <v>0</v>
      </c>
      <c r="J170" s="270"/>
      <c r="K170" s="267">
        <v>0</v>
      </c>
      <c r="L170" s="267">
        <v>0</v>
      </c>
      <c r="M170" s="270"/>
      <c r="N170" s="267">
        <v>0</v>
      </c>
      <c r="O170" s="267">
        <v>0</v>
      </c>
      <c r="P170" s="270"/>
      <c r="Q170" s="267">
        <v>0</v>
      </c>
      <c r="R170" s="267">
        <v>0</v>
      </c>
    </row>
    <row r="171" spans="1:18" ht="12.75">
      <c r="A171" s="246">
        <f t="shared" si="5"/>
        <v>45090</v>
      </c>
      <c r="B171" s="265">
        <v>0</v>
      </c>
      <c r="C171" s="266">
        <v>0</v>
      </c>
      <c r="E171" s="267">
        <v>0</v>
      </c>
      <c r="F171" s="267">
        <v>0</v>
      </c>
      <c r="G171" s="270"/>
      <c r="H171" s="267">
        <v>0</v>
      </c>
      <c r="I171" s="267">
        <v>0</v>
      </c>
      <c r="J171" s="270"/>
      <c r="K171" s="267">
        <v>0</v>
      </c>
      <c r="L171" s="267">
        <v>0</v>
      </c>
      <c r="M171" s="270"/>
      <c r="N171" s="267">
        <v>0</v>
      </c>
      <c r="O171" s="267">
        <v>0</v>
      </c>
      <c r="P171" s="270"/>
      <c r="Q171" s="267">
        <v>0</v>
      </c>
      <c r="R171" s="267">
        <v>0</v>
      </c>
    </row>
    <row r="172" spans="1:18" ht="12.75">
      <c r="A172" s="246">
        <f t="shared" si="5"/>
        <v>45120</v>
      </c>
      <c r="B172" s="265">
        <v>0</v>
      </c>
      <c r="C172" s="266">
        <v>0</v>
      </c>
      <c r="E172" s="267">
        <v>0</v>
      </c>
      <c r="F172" s="267">
        <v>0</v>
      </c>
      <c r="G172" s="270"/>
      <c r="H172" s="267">
        <v>0</v>
      </c>
      <c r="I172" s="267">
        <v>0</v>
      </c>
      <c r="J172" s="270"/>
      <c r="K172" s="267">
        <v>0</v>
      </c>
      <c r="L172" s="267">
        <v>0</v>
      </c>
      <c r="M172" s="270"/>
      <c r="N172" s="267">
        <v>0</v>
      </c>
      <c r="O172" s="267">
        <v>0</v>
      </c>
      <c r="P172" s="270"/>
      <c r="Q172" s="267">
        <v>0</v>
      </c>
      <c r="R172" s="267">
        <v>0</v>
      </c>
    </row>
    <row r="173" spans="1:18" ht="12.75">
      <c r="A173" s="246">
        <f t="shared" si="5"/>
        <v>45151</v>
      </c>
      <c r="B173" s="265">
        <v>0</v>
      </c>
      <c r="C173" s="266">
        <v>0</v>
      </c>
      <c r="E173" s="267">
        <v>0</v>
      </c>
      <c r="F173" s="267">
        <v>0</v>
      </c>
      <c r="G173" s="270"/>
      <c r="H173" s="267">
        <v>0</v>
      </c>
      <c r="I173" s="267">
        <v>0</v>
      </c>
      <c r="J173" s="270"/>
      <c r="K173" s="267">
        <v>0</v>
      </c>
      <c r="L173" s="267">
        <v>0</v>
      </c>
      <c r="M173" s="270"/>
      <c r="N173" s="267">
        <v>0</v>
      </c>
      <c r="O173" s="267">
        <v>0</v>
      </c>
      <c r="P173" s="270"/>
      <c r="Q173" s="267">
        <v>0</v>
      </c>
      <c r="R173" s="267">
        <v>0</v>
      </c>
    </row>
    <row r="174" spans="1:18" ht="12.75">
      <c r="A174" s="246">
        <f t="shared" si="5"/>
        <v>45182</v>
      </c>
      <c r="B174" s="265">
        <v>0</v>
      </c>
      <c r="C174" s="266">
        <v>0</v>
      </c>
      <c r="E174" s="267">
        <v>0</v>
      </c>
      <c r="F174" s="267">
        <v>0</v>
      </c>
      <c r="G174" s="270"/>
      <c r="H174" s="267">
        <v>0</v>
      </c>
      <c r="I174" s="267">
        <v>0</v>
      </c>
      <c r="J174" s="270"/>
      <c r="K174" s="267">
        <v>0</v>
      </c>
      <c r="L174" s="267">
        <v>0</v>
      </c>
      <c r="M174" s="270"/>
      <c r="N174" s="267">
        <v>0</v>
      </c>
      <c r="O174" s="267">
        <v>0</v>
      </c>
      <c r="P174" s="270"/>
      <c r="Q174" s="267">
        <v>0</v>
      </c>
      <c r="R174" s="267">
        <v>0</v>
      </c>
    </row>
    <row r="175" spans="1:18" ht="12.75">
      <c r="A175" s="246">
        <f t="shared" si="5"/>
        <v>45212</v>
      </c>
      <c r="B175" s="265">
        <v>0</v>
      </c>
      <c r="C175" s="266">
        <v>0</v>
      </c>
      <c r="E175" s="267">
        <v>0</v>
      </c>
      <c r="F175" s="267">
        <v>0</v>
      </c>
      <c r="G175" s="270"/>
      <c r="H175" s="267">
        <v>0</v>
      </c>
      <c r="I175" s="267">
        <v>0</v>
      </c>
      <c r="J175" s="270"/>
      <c r="K175" s="267">
        <v>0</v>
      </c>
      <c r="L175" s="267">
        <v>0</v>
      </c>
      <c r="M175" s="270"/>
      <c r="N175" s="267">
        <v>0</v>
      </c>
      <c r="O175" s="267">
        <v>0</v>
      </c>
      <c r="P175" s="270"/>
      <c r="Q175" s="267">
        <v>0</v>
      </c>
      <c r="R175" s="267">
        <v>0</v>
      </c>
    </row>
    <row r="176" spans="1:18" ht="12.75">
      <c r="A176" s="246">
        <f t="shared" si="5"/>
        <v>45243</v>
      </c>
      <c r="B176" s="265">
        <v>0</v>
      </c>
      <c r="C176" s="266">
        <v>0</v>
      </c>
      <c r="E176" s="267">
        <v>0</v>
      </c>
      <c r="F176" s="267">
        <v>0</v>
      </c>
      <c r="G176" s="270"/>
      <c r="H176" s="267">
        <v>0</v>
      </c>
      <c r="I176" s="267">
        <v>0</v>
      </c>
      <c r="J176" s="270"/>
      <c r="K176" s="267">
        <v>0</v>
      </c>
      <c r="L176" s="267">
        <v>0</v>
      </c>
      <c r="M176" s="270"/>
      <c r="N176" s="267">
        <v>0</v>
      </c>
      <c r="O176" s="267">
        <v>0</v>
      </c>
      <c r="P176" s="270"/>
      <c r="Q176" s="267">
        <v>0</v>
      </c>
      <c r="R176" s="267">
        <v>0</v>
      </c>
    </row>
    <row r="177" spans="1:18" ht="12.75">
      <c r="A177" s="246">
        <f t="shared" si="5"/>
        <v>45273</v>
      </c>
      <c r="B177" s="265">
        <v>0</v>
      </c>
      <c r="C177" s="266">
        <v>0</v>
      </c>
      <c r="E177" s="267">
        <v>0</v>
      </c>
      <c r="F177" s="267">
        <v>0</v>
      </c>
      <c r="G177" s="270"/>
      <c r="H177" s="267">
        <v>0</v>
      </c>
      <c r="I177" s="267">
        <v>0</v>
      </c>
      <c r="J177" s="270"/>
      <c r="K177" s="267">
        <v>0</v>
      </c>
      <c r="L177" s="267">
        <v>0</v>
      </c>
      <c r="M177" s="270"/>
      <c r="N177" s="267">
        <v>0</v>
      </c>
      <c r="O177" s="267">
        <v>0</v>
      </c>
      <c r="P177" s="270"/>
      <c r="Q177" s="267">
        <v>0</v>
      </c>
      <c r="R177" s="267">
        <v>0</v>
      </c>
    </row>
    <row r="178" spans="1:18" ht="12.75">
      <c r="A178" s="246">
        <f t="shared" si="5"/>
        <v>45304</v>
      </c>
      <c r="B178" s="265">
        <v>0</v>
      </c>
      <c r="C178" s="266">
        <v>0</v>
      </c>
      <c r="E178" s="267">
        <v>0</v>
      </c>
      <c r="F178" s="267">
        <v>0</v>
      </c>
      <c r="G178" s="270"/>
      <c r="H178" s="267">
        <v>0</v>
      </c>
      <c r="I178" s="267">
        <v>0</v>
      </c>
      <c r="J178" s="270"/>
      <c r="K178" s="267">
        <v>0</v>
      </c>
      <c r="L178" s="267">
        <v>0</v>
      </c>
      <c r="M178" s="270"/>
      <c r="N178" s="267">
        <v>0</v>
      </c>
      <c r="O178" s="267">
        <v>0</v>
      </c>
      <c r="P178" s="270"/>
      <c r="Q178" s="267">
        <v>0</v>
      </c>
      <c r="R178" s="267">
        <v>0</v>
      </c>
    </row>
    <row r="179" spans="1:18" ht="12.75">
      <c r="A179" s="246">
        <f t="shared" si="5"/>
        <v>45335</v>
      </c>
      <c r="B179" s="265">
        <v>0</v>
      </c>
      <c r="C179" s="266">
        <v>0</v>
      </c>
      <c r="E179" s="267">
        <v>0</v>
      </c>
      <c r="F179" s="267">
        <v>0</v>
      </c>
      <c r="G179" s="270"/>
      <c r="H179" s="267">
        <v>0</v>
      </c>
      <c r="I179" s="267">
        <v>0</v>
      </c>
      <c r="J179" s="270"/>
      <c r="K179" s="267">
        <v>0</v>
      </c>
      <c r="L179" s="267">
        <v>0</v>
      </c>
      <c r="M179" s="270"/>
      <c r="N179" s="267">
        <v>0</v>
      </c>
      <c r="O179" s="267">
        <v>0</v>
      </c>
      <c r="P179" s="270"/>
      <c r="Q179" s="267">
        <v>0</v>
      </c>
      <c r="R179" s="267">
        <v>0</v>
      </c>
    </row>
    <row r="180" spans="1:18" ht="12.75">
      <c r="A180" s="246">
        <f t="shared" si="5"/>
        <v>45364</v>
      </c>
      <c r="B180" s="265">
        <v>0</v>
      </c>
      <c r="C180" s="266">
        <v>0</v>
      </c>
      <c r="E180" s="267">
        <v>0</v>
      </c>
      <c r="F180" s="267">
        <v>0</v>
      </c>
      <c r="G180" s="270"/>
      <c r="H180" s="267">
        <v>0</v>
      </c>
      <c r="I180" s="267">
        <v>0</v>
      </c>
      <c r="J180" s="270"/>
      <c r="K180" s="267">
        <v>0</v>
      </c>
      <c r="L180" s="267">
        <v>0</v>
      </c>
      <c r="M180" s="270"/>
      <c r="N180" s="267">
        <v>0</v>
      </c>
      <c r="O180" s="267">
        <v>0</v>
      </c>
      <c r="P180" s="270"/>
      <c r="Q180" s="267">
        <v>0</v>
      </c>
      <c r="R180" s="267">
        <v>0</v>
      </c>
    </row>
    <row r="181" spans="1:18" ht="12.75">
      <c r="A181" s="246">
        <f t="shared" si="5"/>
        <v>45395</v>
      </c>
      <c r="B181" s="265">
        <v>0</v>
      </c>
      <c r="C181" s="266">
        <v>0</v>
      </c>
      <c r="E181" s="267">
        <v>0</v>
      </c>
      <c r="F181" s="267">
        <v>0</v>
      </c>
      <c r="G181" s="270"/>
      <c r="H181" s="267">
        <v>0</v>
      </c>
      <c r="I181" s="267">
        <v>0</v>
      </c>
      <c r="J181" s="270"/>
      <c r="K181" s="267">
        <v>0</v>
      </c>
      <c r="L181" s="267">
        <v>0</v>
      </c>
      <c r="M181" s="270"/>
      <c r="N181" s="267">
        <v>0</v>
      </c>
      <c r="O181" s="267">
        <v>0</v>
      </c>
      <c r="P181" s="270"/>
      <c r="Q181" s="267">
        <v>0</v>
      </c>
      <c r="R181" s="267">
        <v>0</v>
      </c>
    </row>
    <row r="182" spans="1:18" ht="13.5" thickBot="1">
      <c r="A182" s="247">
        <f t="shared" si="5"/>
        <v>45425</v>
      </c>
      <c r="B182" s="274">
        <v>0</v>
      </c>
      <c r="C182" s="275">
        <v>0.02812009</v>
      </c>
      <c r="E182" s="276">
        <v>0</v>
      </c>
      <c r="F182" s="276">
        <v>0</v>
      </c>
      <c r="G182" s="270"/>
      <c r="H182" s="276">
        <v>0</v>
      </c>
      <c r="I182" s="276">
        <v>0</v>
      </c>
      <c r="J182" s="270"/>
      <c r="K182" s="276">
        <v>0</v>
      </c>
      <c r="L182" s="276">
        <v>0</v>
      </c>
      <c r="M182" s="270"/>
      <c r="N182" s="276">
        <v>0</v>
      </c>
      <c r="O182" s="276">
        <v>0</v>
      </c>
      <c r="P182" s="270"/>
      <c r="Q182" s="276">
        <v>0</v>
      </c>
      <c r="R182" s="276">
        <v>0</v>
      </c>
    </row>
    <row r="183" spans="1:19" s="124" customFormat="1" ht="15.75" customHeight="1">
      <c r="A183" s="155"/>
      <c r="B183" s="124">
        <f>SUM(B3:B182)</f>
        <v>1</v>
      </c>
      <c r="C183" s="124">
        <f>SUM(C3:C182)</f>
        <v>1</v>
      </c>
      <c r="D183" s="155"/>
      <c r="E183" s="124">
        <f>SUM(E3:E182)</f>
        <v>1</v>
      </c>
      <c r="F183" s="124">
        <f>SUM(F3:F182)</f>
        <v>1.0000000000000002</v>
      </c>
      <c r="G183" s="155"/>
      <c r="H183" s="124">
        <f>SUM(H3:H182)</f>
        <v>1</v>
      </c>
      <c r="I183" s="124">
        <f>SUM(I3:I182)</f>
        <v>1</v>
      </c>
      <c r="J183" s="155"/>
      <c r="K183" s="124">
        <f>SUM(K3:K182)</f>
        <v>1</v>
      </c>
      <c r="L183" s="124">
        <f>SUM(L3:L182)</f>
        <v>1</v>
      </c>
      <c r="M183" s="155"/>
      <c r="N183" s="124">
        <f>SUM(N3:N182)</f>
        <v>1</v>
      </c>
      <c r="O183" s="124">
        <f>SUM(O3:O182)</f>
        <v>1.0000000000000002</v>
      </c>
      <c r="P183" s="155"/>
      <c r="Q183" s="124">
        <f>SUM(Q3:Q182)</f>
        <v>1</v>
      </c>
      <c r="R183" s="124">
        <f>SUM(R3:R182)</f>
        <v>1</v>
      </c>
      <c r="S183" s="155"/>
    </row>
    <row r="184" spans="2:18" ht="12.75">
      <c r="B184" s="124">
        <f>1-B183</f>
        <v>0</v>
      </c>
      <c r="C184" s="124">
        <f>1-C183</f>
        <v>0</v>
      </c>
      <c r="E184" s="124">
        <f>1-E183</f>
        <v>0</v>
      </c>
      <c r="F184" s="124">
        <f>1-F183</f>
        <v>0</v>
      </c>
      <c r="H184" s="124">
        <f>1-H183</f>
        <v>0</v>
      </c>
      <c r="I184" s="124">
        <f>1-I183</f>
        <v>0</v>
      </c>
      <c r="K184" s="124">
        <f>1-K183</f>
        <v>0</v>
      </c>
      <c r="L184" s="124">
        <f>1-L183</f>
        <v>0</v>
      </c>
      <c r="N184" s="124">
        <f>1-N183</f>
        <v>0</v>
      </c>
      <c r="O184" s="124">
        <f>1-O183</f>
        <v>0</v>
      </c>
      <c r="Q184" s="124">
        <f>1-Q183</f>
        <v>0</v>
      </c>
      <c r="R184" s="124">
        <f>1-R183</f>
        <v>0</v>
      </c>
    </row>
    <row r="185" spans="2:17" ht="12.75">
      <c r="B185" s="124"/>
      <c r="E185" s="124"/>
      <c r="H185" s="124"/>
      <c r="K185" s="124"/>
      <c r="N185" s="124"/>
      <c r="Q185" s="124"/>
    </row>
  </sheetData>
  <sheetProtection password="C539" sheet="1" objects="1" scenarios="1"/>
  <mergeCells count="7">
    <mergeCell ref="N1:O1"/>
    <mergeCell ref="B1:C1"/>
    <mergeCell ref="Q1:R1"/>
    <mergeCell ref="A1:A2"/>
    <mergeCell ref="E1:F1"/>
    <mergeCell ref="H1:I1"/>
    <mergeCell ref="K1:L1"/>
  </mergeCells>
  <conditionalFormatting sqref="B183:C183 E183:F183 H183:I183 K183:L183 N183:O183 Q183:R183">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C181"/>
  <sheetViews>
    <sheetView zoomScale="75" zoomScaleNormal="75" zoomScalePageLayoutView="0" workbookViewId="0" topLeftCell="A1">
      <selection activeCell="B1" sqref="B1"/>
    </sheetView>
  </sheetViews>
  <sheetFormatPr defaultColWidth="11.421875" defaultRowHeight="12.75"/>
  <cols>
    <col min="1" max="1" width="10.140625" style="137" bestFit="1" customWidth="1"/>
    <col min="2" max="3" width="24.00390625" style="137" bestFit="1" customWidth="1"/>
    <col min="4" max="16384" width="11.421875" style="137" customWidth="1"/>
  </cols>
  <sheetData>
    <row r="1" spans="1:3" ht="13.5" thickBot="1">
      <c r="A1" s="134" t="s">
        <v>0</v>
      </c>
      <c r="B1" s="135" t="str">
        <f>+Características!$B$1</f>
        <v>TIPS Pesos E-11 A 2019</v>
      </c>
      <c r="C1" s="136" t="str">
        <f>+Características!$C$1</f>
        <v>TIPS Pesos E-11 A 2024</v>
      </c>
    </row>
    <row r="2" spans="1:3" ht="12.75">
      <c r="A2" s="138">
        <f>+'Tabla de Amortizacion'!A3</f>
        <v>39977</v>
      </c>
      <c r="B2" s="139">
        <f>IF('CALCULADORA TIPS Pesos E-11'!$F$10="Contractual",ROUND('Tabla de Amortizacion'!B3,8),IF('CALCULADORA TIPS Pesos E-11'!$F$10="6% (Medio)",ROUND('Tabla de Amortizacion'!E3,8),IF('CALCULADORA TIPS Pesos E-11'!$F$10="10% (Medio Alto)",ROUND('Tabla de Amortizacion'!H3,8),IF('CALCULADORA TIPS Pesos E-11'!$F$10="14% (Alto)",ROUND('Tabla de Amortizacion'!K3,8),IF('CALCULADORA TIPS Pesos E-11'!$F$10=20%,ROUND('Tabla de Amortizacion'!N3,8),ROUND('Tabla de Amortizacion'!Q3,8))))))</f>
        <v>0.02682669</v>
      </c>
      <c r="C2" s="139">
        <f>IF('CALCULADORA TIPS Pesos E-11'!$F$10="Contractual",ROUND('Tabla de Amortizacion'!C3,8),IF('CALCULADORA TIPS Pesos E-11'!$F$10="6% (Medio)",ROUND('Tabla de Amortizacion'!F3,8),IF('CALCULADORA TIPS Pesos E-11'!$F$10="10% (Medio Alto)",ROUND('Tabla de Amortizacion'!I3,8),IF('CALCULADORA TIPS Pesos E-11'!$F$10="14% (Alto)",ROUND('Tabla de Amortizacion'!L3,8),IF('CALCULADORA TIPS Pesos E-11'!$F$10=20%,ROUND('Tabla de Amortizacion'!O3,8),ROUND('Tabla de Amortizacion'!R3,8))))))</f>
        <v>0</v>
      </c>
    </row>
    <row r="3" spans="1:3" ht="12.75">
      <c r="A3" s="140">
        <f aca="true" t="shared" si="0" ref="A3:A34">_XLL.FECHA.MES(A2,1)</f>
        <v>40007</v>
      </c>
      <c r="B3" s="141">
        <f>IF('CALCULADORA TIPS Pesos E-11'!$F$10="Contractual",ROUND('Tabla de Amortizacion'!B4,8),IF('CALCULADORA TIPS Pesos E-11'!$F$10="6% (Medio)",ROUND('Tabla de Amortizacion'!E4,8),IF('CALCULADORA TIPS Pesos E-11'!$F$10="10% (Medio Alto)",ROUND('Tabla de Amortizacion'!H4,8),IF('CALCULADORA TIPS Pesos E-11'!$F$10="14% (Alto)",ROUND('Tabla de Amortizacion'!K4,8),IF('CALCULADORA TIPS Pesos E-11'!$F$10=20%,ROUND('Tabla de Amortizacion'!N4,8),ROUND('Tabla de Amortizacion'!Q4,8))))))</f>
        <v>0.02800073</v>
      </c>
      <c r="C3" s="141">
        <f>IF('CALCULADORA TIPS Pesos E-11'!$F$10="Contractual",ROUND('Tabla de Amortizacion'!C4,8),IF('CALCULADORA TIPS Pesos E-11'!$F$10="6% (Medio)",ROUND('Tabla de Amortizacion'!F4,8),IF('CALCULADORA TIPS Pesos E-11'!$F$10="10% (Medio Alto)",ROUND('Tabla de Amortizacion'!I4,8),IF('CALCULADORA TIPS Pesos E-11'!$F$10="14% (Alto)",ROUND('Tabla de Amortizacion'!L4,8),IF('CALCULADORA TIPS Pesos E-11'!$F$10=20%,ROUND('Tabla de Amortizacion'!O4,8),ROUND('Tabla de Amortizacion'!R4,8))))))</f>
        <v>0</v>
      </c>
    </row>
    <row r="4" spans="1:3" ht="12.75">
      <c r="A4" s="140">
        <f t="shared" si="0"/>
        <v>40038</v>
      </c>
      <c r="B4" s="141">
        <f>IF('CALCULADORA TIPS Pesos E-11'!$F$10="Contractual",ROUND('Tabla de Amortizacion'!B5,8),IF('CALCULADORA TIPS Pesos E-11'!$F$10="6% (Medio)",ROUND('Tabla de Amortizacion'!E5,8),IF('CALCULADORA TIPS Pesos E-11'!$F$10="10% (Medio Alto)",ROUND('Tabla de Amortizacion'!H5,8),IF('CALCULADORA TIPS Pesos E-11'!$F$10="14% (Alto)",ROUND('Tabla de Amortizacion'!K5,8),IF('CALCULADORA TIPS Pesos E-11'!$F$10=20%,ROUND('Tabla de Amortizacion'!N5,8),ROUND('Tabla de Amortizacion'!Q5,8))))))</f>
        <v>0.04305767</v>
      </c>
      <c r="C4" s="141">
        <f>IF('CALCULADORA TIPS Pesos E-11'!$F$10="Contractual",ROUND('Tabla de Amortizacion'!C5,8),IF('CALCULADORA TIPS Pesos E-11'!$F$10="6% (Medio)",ROUND('Tabla de Amortizacion'!F5,8),IF('CALCULADORA TIPS Pesos E-11'!$F$10="10% (Medio Alto)",ROUND('Tabla de Amortizacion'!I5,8),IF('CALCULADORA TIPS Pesos E-11'!$F$10="14% (Alto)",ROUND('Tabla de Amortizacion'!L5,8),IF('CALCULADORA TIPS Pesos E-11'!$F$10=20%,ROUND('Tabla de Amortizacion'!O5,8),ROUND('Tabla de Amortizacion'!R5,8))))))</f>
        <v>0</v>
      </c>
    </row>
    <row r="5" spans="1:3" ht="12.75">
      <c r="A5" s="140">
        <f t="shared" si="0"/>
        <v>40069</v>
      </c>
      <c r="B5" s="141">
        <f>IF('CALCULADORA TIPS Pesos E-11'!$F$10="Contractual",ROUND('Tabla de Amortizacion'!B6,8),IF('CALCULADORA TIPS Pesos E-11'!$F$10="6% (Medio)",ROUND('Tabla de Amortizacion'!E6,8),IF('CALCULADORA TIPS Pesos E-11'!$F$10="10% (Medio Alto)",ROUND('Tabla de Amortizacion'!H6,8),IF('CALCULADORA TIPS Pesos E-11'!$F$10="14% (Alto)",ROUND('Tabla de Amortizacion'!K6,8),IF('CALCULADORA TIPS Pesos E-11'!$F$10=20%,ROUND('Tabla de Amortizacion'!N6,8),ROUND('Tabla de Amortizacion'!Q6,8))))))</f>
        <v>0.03346972</v>
      </c>
      <c r="C5" s="141">
        <f>IF('CALCULADORA TIPS Pesos E-11'!$F$10="Contractual",ROUND('Tabla de Amortizacion'!C6,8),IF('CALCULADORA TIPS Pesos E-11'!$F$10="6% (Medio)",ROUND('Tabla de Amortizacion'!F6,8),IF('CALCULADORA TIPS Pesos E-11'!$F$10="10% (Medio Alto)",ROUND('Tabla de Amortizacion'!I6,8),IF('CALCULADORA TIPS Pesos E-11'!$F$10="14% (Alto)",ROUND('Tabla de Amortizacion'!L6,8),IF('CALCULADORA TIPS Pesos E-11'!$F$10=20%,ROUND('Tabla de Amortizacion'!O6,8),ROUND('Tabla de Amortizacion'!R6,8))))))</f>
        <v>0</v>
      </c>
    </row>
    <row r="6" spans="1:3" ht="12.75">
      <c r="A6" s="140">
        <f t="shared" si="0"/>
        <v>40099</v>
      </c>
      <c r="B6" s="141">
        <f>IF('CALCULADORA TIPS Pesos E-11'!$F$10="Contractual",ROUND('Tabla de Amortizacion'!B7,8),IF('CALCULADORA TIPS Pesos E-11'!$F$10="6% (Medio)",ROUND('Tabla de Amortizacion'!E7,8),IF('CALCULADORA TIPS Pesos E-11'!$F$10="10% (Medio Alto)",ROUND('Tabla de Amortizacion'!H7,8),IF('CALCULADORA TIPS Pesos E-11'!$F$10="14% (Alto)",ROUND('Tabla de Amortizacion'!K7,8),IF('CALCULADORA TIPS Pesos E-11'!$F$10=20%,ROUND('Tabla de Amortizacion'!N7,8),ROUND('Tabla de Amortizacion'!Q7,8))))))</f>
        <v>0.03449471</v>
      </c>
      <c r="C6" s="141">
        <f>IF('CALCULADORA TIPS Pesos E-11'!$F$10="Contractual",ROUND('Tabla de Amortizacion'!C7,8),IF('CALCULADORA TIPS Pesos E-11'!$F$10="6% (Medio)",ROUND('Tabla de Amortizacion'!F7,8),IF('CALCULADORA TIPS Pesos E-11'!$F$10="10% (Medio Alto)",ROUND('Tabla de Amortizacion'!I7,8),IF('CALCULADORA TIPS Pesos E-11'!$F$10="14% (Alto)",ROUND('Tabla de Amortizacion'!L7,8),IF('CALCULADORA TIPS Pesos E-11'!$F$10=20%,ROUND('Tabla de Amortizacion'!O7,8),ROUND('Tabla de Amortizacion'!R7,8))))))</f>
        <v>0</v>
      </c>
    </row>
    <row r="7" spans="1:3" ht="12.75">
      <c r="A7" s="140">
        <f t="shared" si="0"/>
        <v>40130</v>
      </c>
      <c r="B7" s="141">
        <f>IF('CALCULADORA TIPS Pesos E-11'!$F$10="Contractual",ROUND('Tabla de Amortizacion'!B8,8),IF('CALCULADORA TIPS Pesos E-11'!$F$10="6% (Medio)",ROUND('Tabla de Amortizacion'!E8,8),IF('CALCULADORA TIPS Pesos E-11'!$F$10="10% (Medio Alto)",ROUND('Tabla de Amortizacion'!H8,8),IF('CALCULADORA TIPS Pesos E-11'!$F$10="14% (Alto)",ROUND('Tabla de Amortizacion'!K8,8),IF('CALCULADORA TIPS Pesos E-11'!$F$10=20%,ROUND('Tabla de Amortizacion'!N8,8),ROUND('Tabla de Amortizacion'!Q8,8))))))</f>
        <v>0.02747111</v>
      </c>
      <c r="C7" s="141">
        <f>IF('CALCULADORA TIPS Pesos E-11'!$F$10="Contractual",ROUND('Tabla de Amortizacion'!C8,8),IF('CALCULADORA TIPS Pesos E-11'!$F$10="6% (Medio)",ROUND('Tabla de Amortizacion'!F8,8),IF('CALCULADORA TIPS Pesos E-11'!$F$10="10% (Medio Alto)",ROUND('Tabla de Amortizacion'!I8,8),IF('CALCULADORA TIPS Pesos E-11'!$F$10="14% (Alto)",ROUND('Tabla de Amortizacion'!L8,8),IF('CALCULADORA TIPS Pesos E-11'!$F$10=20%,ROUND('Tabla de Amortizacion'!O8,8),ROUND('Tabla de Amortizacion'!R8,8))))))</f>
        <v>0</v>
      </c>
    </row>
    <row r="8" spans="1:3" ht="12.75">
      <c r="A8" s="140">
        <f t="shared" si="0"/>
        <v>40160</v>
      </c>
      <c r="B8" s="141">
        <f>IF('CALCULADORA TIPS Pesos E-11'!$F$10="Contractual",ROUND('Tabla de Amortizacion'!B9,8),IF('CALCULADORA TIPS Pesos E-11'!$F$10="6% (Medio)",ROUND('Tabla de Amortizacion'!E9,8),IF('CALCULADORA TIPS Pesos E-11'!$F$10="10% (Medio Alto)",ROUND('Tabla de Amortizacion'!H9,8),IF('CALCULADORA TIPS Pesos E-11'!$F$10="14% (Alto)",ROUND('Tabla de Amortizacion'!K9,8),IF('CALCULADORA TIPS Pesos E-11'!$F$10=20%,ROUND('Tabla de Amortizacion'!N9,8),ROUND('Tabla de Amortizacion'!Q9,8))))))</f>
        <v>0.03235722</v>
      </c>
      <c r="C8" s="141">
        <f>IF('CALCULADORA TIPS Pesos E-11'!$F$10="Contractual",ROUND('Tabla de Amortizacion'!C9,8),IF('CALCULADORA TIPS Pesos E-11'!$F$10="6% (Medio)",ROUND('Tabla de Amortizacion'!F9,8),IF('CALCULADORA TIPS Pesos E-11'!$F$10="10% (Medio Alto)",ROUND('Tabla de Amortizacion'!I9,8),IF('CALCULADORA TIPS Pesos E-11'!$F$10="14% (Alto)",ROUND('Tabla de Amortizacion'!L9,8),IF('CALCULADORA TIPS Pesos E-11'!$F$10=20%,ROUND('Tabla de Amortizacion'!O9,8),ROUND('Tabla de Amortizacion'!R9,8))))))</f>
        <v>0</v>
      </c>
    </row>
    <row r="9" spans="1:3" ht="12.75">
      <c r="A9" s="140">
        <f t="shared" si="0"/>
        <v>40191</v>
      </c>
      <c r="B9" s="141">
        <f>IF('CALCULADORA TIPS Pesos E-11'!$F$10="Contractual",ROUND('Tabla de Amortizacion'!B10,8),IF('CALCULADORA TIPS Pesos E-11'!$F$10="6% (Medio)",ROUND('Tabla de Amortizacion'!E10,8),IF('CALCULADORA TIPS Pesos E-11'!$F$10="10% (Medio Alto)",ROUND('Tabla de Amortizacion'!H10,8),IF('CALCULADORA TIPS Pesos E-11'!$F$10="14% (Alto)",ROUND('Tabla de Amortizacion'!K10,8),IF('CALCULADORA TIPS Pesos E-11'!$F$10=20%,ROUND('Tabla de Amortizacion'!N10,8),ROUND('Tabla de Amortizacion'!Q10,8))))))</f>
        <v>0.02891778</v>
      </c>
      <c r="C9" s="141">
        <f>IF('CALCULADORA TIPS Pesos E-11'!$F$10="Contractual",ROUND('Tabla de Amortizacion'!C10,8),IF('CALCULADORA TIPS Pesos E-11'!$F$10="6% (Medio)",ROUND('Tabla de Amortizacion'!F10,8),IF('CALCULADORA TIPS Pesos E-11'!$F$10="10% (Medio Alto)",ROUND('Tabla de Amortizacion'!I10,8),IF('CALCULADORA TIPS Pesos E-11'!$F$10="14% (Alto)",ROUND('Tabla de Amortizacion'!L10,8),IF('CALCULADORA TIPS Pesos E-11'!$F$10=20%,ROUND('Tabla de Amortizacion'!O10,8),ROUND('Tabla de Amortizacion'!R10,8))))))</f>
        <v>0</v>
      </c>
    </row>
    <row r="10" spans="1:3" ht="12.75">
      <c r="A10" s="140">
        <f t="shared" si="0"/>
        <v>40222</v>
      </c>
      <c r="B10" s="141">
        <f>IF('CALCULADORA TIPS Pesos E-11'!$F$10="Contractual",ROUND('Tabla de Amortizacion'!B11,8),IF('CALCULADORA TIPS Pesos E-11'!$F$10="6% (Medio)",ROUND('Tabla de Amortizacion'!E11,8),IF('CALCULADORA TIPS Pesos E-11'!$F$10="10% (Medio Alto)",ROUND('Tabla de Amortizacion'!H11,8),IF('CALCULADORA TIPS Pesos E-11'!$F$10="14% (Alto)",ROUND('Tabla de Amortizacion'!K11,8),IF('CALCULADORA TIPS Pesos E-11'!$F$10=20%,ROUND('Tabla de Amortizacion'!N11,8),ROUND('Tabla de Amortizacion'!Q11,8))))))</f>
        <v>0.03102511</v>
      </c>
      <c r="C10" s="141">
        <f>IF('CALCULADORA TIPS Pesos E-11'!$F$10="Contractual",ROUND('Tabla de Amortizacion'!C11,8),IF('CALCULADORA TIPS Pesos E-11'!$F$10="6% (Medio)",ROUND('Tabla de Amortizacion'!F11,8),IF('CALCULADORA TIPS Pesos E-11'!$F$10="10% (Medio Alto)",ROUND('Tabla de Amortizacion'!I11,8),IF('CALCULADORA TIPS Pesos E-11'!$F$10="14% (Alto)",ROUND('Tabla de Amortizacion'!L11,8),IF('CALCULADORA TIPS Pesos E-11'!$F$10=20%,ROUND('Tabla de Amortizacion'!O11,8),ROUND('Tabla de Amortizacion'!R11,8))))))</f>
        <v>0</v>
      </c>
    </row>
    <row r="11" spans="1:3" ht="12.75">
      <c r="A11" s="140">
        <f t="shared" si="0"/>
        <v>40250</v>
      </c>
      <c r="B11" s="141">
        <f>IF('CALCULADORA TIPS Pesos E-11'!$F$10="Contractual",ROUND('Tabla de Amortizacion'!B12,8),IF('CALCULADORA TIPS Pesos E-11'!$F$10="6% (Medio)",ROUND('Tabla de Amortizacion'!E12,8),IF('CALCULADORA TIPS Pesos E-11'!$F$10="10% (Medio Alto)",ROUND('Tabla de Amortizacion'!H12,8),IF('CALCULADORA TIPS Pesos E-11'!$F$10="14% (Alto)",ROUND('Tabla de Amortizacion'!K12,8),IF('CALCULADORA TIPS Pesos E-11'!$F$10=20%,ROUND('Tabla de Amortizacion'!N12,8),ROUND('Tabla de Amortizacion'!Q12,8))))))</f>
        <v>0.02526195</v>
      </c>
      <c r="C11" s="141">
        <f>IF('CALCULADORA TIPS Pesos E-11'!$F$10="Contractual",ROUND('Tabla de Amortizacion'!C12,8),IF('CALCULADORA TIPS Pesos E-11'!$F$10="6% (Medio)",ROUND('Tabla de Amortizacion'!F12,8),IF('CALCULADORA TIPS Pesos E-11'!$F$10="10% (Medio Alto)",ROUND('Tabla de Amortizacion'!I12,8),IF('CALCULADORA TIPS Pesos E-11'!$F$10="14% (Alto)",ROUND('Tabla de Amortizacion'!L12,8),IF('CALCULADORA TIPS Pesos E-11'!$F$10=20%,ROUND('Tabla de Amortizacion'!O12,8),ROUND('Tabla de Amortizacion'!R12,8))))))</f>
        <v>0</v>
      </c>
    </row>
    <row r="12" spans="1:3" ht="12.75">
      <c r="A12" s="140">
        <f t="shared" si="0"/>
        <v>40281</v>
      </c>
      <c r="B12" s="141">
        <f>IF('CALCULADORA TIPS Pesos E-11'!$F$10="Contractual",ROUND('Tabla de Amortizacion'!B13,8),IF('CALCULADORA TIPS Pesos E-11'!$F$10="6% (Medio)",ROUND('Tabla de Amortizacion'!E13,8),IF('CALCULADORA TIPS Pesos E-11'!$F$10="10% (Medio Alto)",ROUND('Tabla de Amortizacion'!H13,8),IF('CALCULADORA TIPS Pesos E-11'!$F$10="14% (Alto)",ROUND('Tabla de Amortizacion'!K13,8),IF('CALCULADORA TIPS Pesos E-11'!$F$10=20%,ROUND('Tabla de Amortizacion'!N13,8),ROUND('Tabla de Amortizacion'!Q13,8))))))</f>
        <v>0.02556696</v>
      </c>
      <c r="C12" s="141">
        <f>IF('CALCULADORA TIPS Pesos E-11'!$F$10="Contractual",ROUND('Tabla de Amortizacion'!C13,8),IF('CALCULADORA TIPS Pesos E-11'!$F$10="6% (Medio)",ROUND('Tabla de Amortizacion'!F13,8),IF('CALCULADORA TIPS Pesos E-11'!$F$10="10% (Medio Alto)",ROUND('Tabla de Amortizacion'!I13,8),IF('CALCULADORA TIPS Pesos E-11'!$F$10="14% (Alto)",ROUND('Tabla de Amortizacion'!L13,8),IF('CALCULADORA TIPS Pesos E-11'!$F$10=20%,ROUND('Tabla de Amortizacion'!O13,8),ROUND('Tabla de Amortizacion'!R13,8))))))</f>
        <v>0</v>
      </c>
    </row>
    <row r="13" spans="1:3" ht="12.75">
      <c r="A13" s="140">
        <f t="shared" si="0"/>
        <v>40311</v>
      </c>
      <c r="B13" s="141">
        <f>IF('CALCULADORA TIPS Pesos E-11'!$F$10="Contractual",ROUND('Tabla de Amortizacion'!B14,8),IF('CALCULADORA TIPS Pesos E-11'!$F$10="6% (Medio)",ROUND('Tabla de Amortizacion'!E14,8),IF('CALCULADORA TIPS Pesos E-11'!$F$10="10% (Medio Alto)",ROUND('Tabla de Amortizacion'!H14,8),IF('CALCULADORA TIPS Pesos E-11'!$F$10="14% (Alto)",ROUND('Tabla de Amortizacion'!K14,8),IF('CALCULADORA TIPS Pesos E-11'!$F$10=20%,ROUND('Tabla de Amortizacion'!N14,8),ROUND('Tabla de Amortizacion'!Q14,8))))))</f>
        <v>0.03378478</v>
      </c>
      <c r="C13" s="141">
        <f>IF('CALCULADORA TIPS Pesos E-11'!$F$10="Contractual",ROUND('Tabla de Amortizacion'!C14,8),IF('CALCULADORA TIPS Pesos E-11'!$F$10="6% (Medio)",ROUND('Tabla de Amortizacion'!F14,8),IF('CALCULADORA TIPS Pesos E-11'!$F$10="10% (Medio Alto)",ROUND('Tabla de Amortizacion'!I14,8),IF('CALCULADORA TIPS Pesos E-11'!$F$10="14% (Alto)",ROUND('Tabla de Amortizacion'!L14,8),IF('CALCULADORA TIPS Pesos E-11'!$F$10=20%,ROUND('Tabla de Amortizacion'!O14,8),ROUND('Tabla de Amortizacion'!R14,8))))))</f>
        <v>0</v>
      </c>
    </row>
    <row r="14" spans="1:3" ht="12.75">
      <c r="A14" s="140">
        <f t="shared" si="0"/>
        <v>40342</v>
      </c>
      <c r="B14" s="141">
        <f>IF('CALCULADORA TIPS Pesos E-11'!$F$10="Contractual",ROUND('Tabla de Amortizacion'!B15,8),IF('CALCULADORA TIPS Pesos E-11'!$F$10="6% (Medio)",ROUND('Tabla de Amortizacion'!E15,8),IF('CALCULADORA TIPS Pesos E-11'!$F$10="10% (Medio Alto)",ROUND('Tabla de Amortizacion'!H15,8),IF('CALCULADORA TIPS Pesos E-11'!$F$10="14% (Alto)",ROUND('Tabla de Amortizacion'!K15,8),IF('CALCULADORA TIPS Pesos E-11'!$F$10=20%,ROUND('Tabla de Amortizacion'!N15,8),ROUND('Tabla de Amortizacion'!Q15,8))))))</f>
        <v>0.02903332</v>
      </c>
      <c r="C14" s="141">
        <f>IF('CALCULADORA TIPS Pesos E-11'!$F$10="Contractual",ROUND('Tabla de Amortizacion'!C15,8),IF('CALCULADORA TIPS Pesos E-11'!$F$10="6% (Medio)",ROUND('Tabla de Amortizacion'!F15,8),IF('CALCULADORA TIPS Pesos E-11'!$F$10="10% (Medio Alto)",ROUND('Tabla de Amortizacion'!I15,8),IF('CALCULADORA TIPS Pesos E-11'!$F$10="14% (Alto)",ROUND('Tabla de Amortizacion'!L15,8),IF('CALCULADORA TIPS Pesos E-11'!$F$10=20%,ROUND('Tabla de Amortizacion'!O15,8),ROUND('Tabla de Amortizacion'!R15,8))))))</f>
        <v>0</v>
      </c>
    </row>
    <row r="15" spans="1:3" ht="12.75">
      <c r="A15" s="140">
        <f t="shared" si="0"/>
        <v>40372</v>
      </c>
      <c r="B15" s="141">
        <f>IF('CALCULADORA TIPS Pesos E-11'!$F$10="Contractual",ROUND('Tabla de Amortizacion'!B16,8),IF('CALCULADORA TIPS Pesos E-11'!$F$10="6% (Medio)",ROUND('Tabla de Amortizacion'!E16,8),IF('CALCULADORA TIPS Pesos E-11'!$F$10="10% (Medio Alto)",ROUND('Tabla de Amortizacion'!H16,8),IF('CALCULADORA TIPS Pesos E-11'!$F$10="14% (Alto)",ROUND('Tabla de Amortizacion'!K16,8),IF('CALCULADORA TIPS Pesos E-11'!$F$10=20%,ROUND('Tabla de Amortizacion'!N16,8),ROUND('Tabla de Amortizacion'!Q16,8))))))</f>
        <v>0.02205985</v>
      </c>
      <c r="C15" s="141">
        <f>IF('CALCULADORA TIPS Pesos E-11'!$F$10="Contractual",ROUND('Tabla de Amortizacion'!C16,8),IF('CALCULADORA TIPS Pesos E-11'!$F$10="6% (Medio)",ROUND('Tabla de Amortizacion'!F16,8),IF('CALCULADORA TIPS Pesos E-11'!$F$10="10% (Medio Alto)",ROUND('Tabla de Amortizacion'!I16,8),IF('CALCULADORA TIPS Pesos E-11'!$F$10="14% (Alto)",ROUND('Tabla de Amortizacion'!L16,8),IF('CALCULADORA TIPS Pesos E-11'!$F$10=20%,ROUND('Tabla de Amortizacion'!O16,8),ROUND('Tabla de Amortizacion'!R16,8))))))</f>
        <v>0</v>
      </c>
    </row>
    <row r="16" spans="1:3" ht="12.75">
      <c r="A16" s="140">
        <f t="shared" si="0"/>
        <v>40403</v>
      </c>
      <c r="B16" s="141">
        <f>IF('CALCULADORA TIPS Pesos E-11'!$F$10="Contractual",ROUND('Tabla de Amortizacion'!B17,8),IF('CALCULADORA TIPS Pesos E-11'!$F$10="6% (Medio)",ROUND('Tabla de Amortizacion'!E17,8),IF('CALCULADORA TIPS Pesos E-11'!$F$10="10% (Medio Alto)",ROUND('Tabla de Amortizacion'!H17,8),IF('CALCULADORA TIPS Pesos E-11'!$F$10="14% (Alto)",ROUND('Tabla de Amortizacion'!K17,8),IF('CALCULADORA TIPS Pesos E-11'!$F$10=20%,ROUND('Tabla de Amortizacion'!N17,8),ROUND('Tabla de Amortizacion'!Q17,8))))))</f>
        <v>0.03502364</v>
      </c>
      <c r="C16" s="141">
        <f>IF('CALCULADORA TIPS Pesos E-11'!$F$10="Contractual",ROUND('Tabla de Amortizacion'!C17,8),IF('CALCULADORA TIPS Pesos E-11'!$F$10="6% (Medio)",ROUND('Tabla de Amortizacion'!F17,8),IF('CALCULADORA TIPS Pesos E-11'!$F$10="10% (Medio Alto)",ROUND('Tabla de Amortizacion'!I17,8),IF('CALCULADORA TIPS Pesos E-11'!$F$10="14% (Alto)",ROUND('Tabla de Amortizacion'!L17,8),IF('CALCULADORA TIPS Pesos E-11'!$F$10=20%,ROUND('Tabla de Amortizacion'!O17,8),ROUND('Tabla de Amortizacion'!R17,8))))))</f>
        <v>0</v>
      </c>
    </row>
    <row r="17" spans="1:3" ht="12.75">
      <c r="A17" s="140">
        <f t="shared" si="0"/>
        <v>40434</v>
      </c>
      <c r="B17" s="141">
        <f>IF('CALCULADORA TIPS Pesos E-11'!$F$10="Contractual",ROUND('Tabla de Amortizacion'!B18,8),IF('CALCULADORA TIPS Pesos E-11'!$F$10="6% (Medio)",ROUND('Tabla de Amortizacion'!E18,8),IF('CALCULADORA TIPS Pesos E-11'!$F$10="10% (Medio Alto)",ROUND('Tabla de Amortizacion'!H18,8),IF('CALCULADORA TIPS Pesos E-11'!$F$10="14% (Alto)",ROUND('Tabla de Amortizacion'!K18,8),IF('CALCULADORA TIPS Pesos E-11'!$F$10=20%,ROUND('Tabla de Amortizacion'!N18,8),ROUND('Tabla de Amortizacion'!Q18,8))))))</f>
        <v>0.0267847</v>
      </c>
      <c r="C17" s="141">
        <f>IF('CALCULADORA TIPS Pesos E-11'!$F$10="Contractual",ROUND('Tabla de Amortizacion'!C18,8),IF('CALCULADORA TIPS Pesos E-11'!$F$10="6% (Medio)",ROUND('Tabla de Amortizacion'!F18,8),IF('CALCULADORA TIPS Pesos E-11'!$F$10="10% (Medio Alto)",ROUND('Tabla de Amortizacion'!I18,8),IF('CALCULADORA TIPS Pesos E-11'!$F$10="14% (Alto)",ROUND('Tabla de Amortizacion'!L18,8),IF('CALCULADORA TIPS Pesos E-11'!$F$10=20%,ROUND('Tabla de Amortizacion'!O18,8),ROUND('Tabla de Amortizacion'!R18,8))))))</f>
        <v>0</v>
      </c>
    </row>
    <row r="18" spans="1:3" ht="12.75">
      <c r="A18" s="140">
        <f t="shared" si="0"/>
        <v>40464</v>
      </c>
      <c r="B18" s="141">
        <f>IF('CALCULADORA TIPS Pesos E-11'!$F$10="Contractual",ROUND('Tabla de Amortizacion'!B19,8),IF('CALCULADORA TIPS Pesos E-11'!$F$10="6% (Medio)",ROUND('Tabla de Amortizacion'!E19,8),IF('CALCULADORA TIPS Pesos E-11'!$F$10="10% (Medio Alto)",ROUND('Tabla de Amortizacion'!H19,8),IF('CALCULADORA TIPS Pesos E-11'!$F$10="14% (Alto)",ROUND('Tabla de Amortizacion'!K19,8),IF('CALCULADORA TIPS Pesos E-11'!$F$10=20%,ROUND('Tabla de Amortizacion'!N19,8),ROUND('Tabla de Amortizacion'!Q19,8))))))</f>
        <v>0.0528789</v>
      </c>
      <c r="C18" s="141">
        <f>IF('CALCULADORA TIPS Pesos E-11'!$F$10="Contractual",ROUND('Tabla de Amortizacion'!C19,8),IF('CALCULADORA TIPS Pesos E-11'!$F$10="6% (Medio)",ROUND('Tabla de Amortizacion'!F19,8),IF('CALCULADORA TIPS Pesos E-11'!$F$10="10% (Medio Alto)",ROUND('Tabla de Amortizacion'!I19,8),IF('CALCULADORA TIPS Pesos E-11'!$F$10="14% (Alto)",ROUND('Tabla de Amortizacion'!L19,8),IF('CALCULADORA TIPS Pesos E-11'!$F$10=20%,ROUND('Tabla de Amortizacion'!O19,8),ROUND('Tabla de Amortizacion'!R19,8))))))</f>
        <v>0</v>
      </c>
    </row>
    <row r="19" spans="1:3" ht="12.75">
      <c r="A19" s="140">
        <f t="shared" si="0"/>
        <v>40495</v>
      </c>
      <c r="B19" s="141">
        <f>IF('CALCULADORA TIPS Pesos E-11'!$F$10="Contractual",ROUND('Tabla de Amortizacion'!B20,8),IF('CALCULADORA TIPS Pesos E-11'!$F$10="6% (Medio)",ROUND('Tabla de Amortizacion'!E20,8),IF('CALCULADORA TIPS Pesos E-11'!$F$10="10% (Medio Alto)",ROUND('Tabla de Amortizacion'!H20,8),IF('CALCULADORA TIPS Pesos E-11'!$F$10="14% (Alto)",ROUND('Tabla de Amortizacion'!K20,8),IF('CALCULADORA TIPS Pesos E-11'!$F$10=20%,ROUND('Tabla de Amortizacion'!N20,8),ROUND('Tabla de Amortizacion'!Q20,8))))))</f>
        <v>0.08443977</v>
      </c>
      <c r="C19" s="141">
        <f>IF('CALCULADORA TIPS Pesos E-11'!$F$10="Contractual",ROUND('Tabla de Amortizacion'!C20,8),IF('CALCULADORA TIPS Pesos E-11'!$F$10="6% (Medio)",ROUND('Tabla de Amortizacion'!F20,8),IF('CALCULADORA TIPS Pesos E-11'!$F$10="10% (Medio Alto)",ROUND('Tabla de Amortizacion'!I20,8),IF('CALCULADORA TIPS Pesos E-11'!$F$10="14% (Alto)",ROUND('Tabla de Amortizacion'!L20,8),IF('CALCULADORA TIPS Pesos E-11'!$F$10=20%,ROUND('Tabla de Amortizacion'!O20,8),ROUND('Tabla de Amortizacion'!R20,8))))))</f>
        <v>0</v>
      </c>
    </row>
    <row r="20" spans="1:3" ht="12.75">
      <c r="A20" s="140">
        <f t="shared" si="0"/>
        <v>40525</v>
      </c>
      <c r="B20" s="141">
        <f>IF('CALCULADORA TIPS Pesos E-11'!$F$10="Contractual",ROUND('Tabla de Amortizacion'!B21,8),IF('CALCULADORA TIPS Pesos E-11'!$F$10="6% (Medio)",ROUND('Tabla de Amortizacion'!E21,8),IF('CALCULADORA TIPS Pesos E-11'!$F$10="10% (Medio Alto)",ROUND('Tabla de Amortizacion'!H21,8),IF('CALCULADORA TIPS Pesos E-11'!$F$10="14% (Alto)",ROUND('Tabla de Amortizacion'!K21,8),IF('CALCULADORA TIPS Pesos E-11'!$F$10=20%,ROUND('Tabla de Amortizacion'!N21,8),ROUND('Tabla de Amortizacion'!Q21,8))))))</f>
        <v>0.07016442</v>
      </c>
      <c r="C20" s="141">
        <f>IF('CALCULADORA TIPS Pesos E-11'!$F$10="Contractual",ROUND('Tabla de Amortizacion'!C21,8),IF('CALCULADORA TIPS Pesos E-11'!$F$10="6% (Medio)",ROUND('Tabla de Amortizacion'!F21,8),IF('CALCULADORA TIPS Pesos E-11'!$F$10="10% (Medio Alto)",ROUND('Tabla de Amortizacion'!I21,8),IF('CALCULADORA TIPS Pesos E-11'!$F$10="14% (Alto)",ROUND('Tabla de Amortizacion'!L21,8),IF('CALCULADORA TIPS Pesos E-11'!$F$10=20%,ROUND('Tabla de Amortizacion'!O21,8),ROUND('Tabla de Amortizacion'!R21,8))))))</f>
        <v>0</v>
      </c>
    </row>
    <row r="21" spans="1:3" ht="12.75">
      <c r="A21" s="140">
        <f t="shared" si="0"/>
        <v>40556</v>
      </c>
      <c r="B21" s="141">
        <f>IF('CALCULADORA TIPS Pesos E-11'!$F$10="Contractual",ROUND('Tabla de Amortizacion'!B22,8),IF('CALCULADORA TIPS Pesos E-11'!$F$10="6% (Medio)",ROUND('Tabla de Amortizacion'!E22,8),IF('CALCULADORA TIPS Pesos E-11'!$F$10="10% (Medio Alto)",ROUND('Tabla de Amortizacion'!H22,8),IF('CALCULADORA TIPS Pesos E-11'!$F$10="14% (Alto)",ROUND('Tabla de Amortizacion'!K22,8),IF('CALCULADORA TIPS Pesos E-11'!$F$10=20%,ROUND('Tabla de Amortizacion'!N22,8),ROUND('Tabla de Amortizacion'!Q22,8))))))</f>
        <v>0.06887878</v>
      </c>
      <c r="C21" s="141">
        <f>IF('CALCULADORA TIPS Pesos E-11'!$F$10="Contractual",ROUND('Tabla de Amortizacion'!C22,8),IF('CALCULADORA TIPS Pesos E-11'!$F$10="6% (Medio)",ROUND('Tabla de Amortizacion'!F22,8),IF('CALCULADORA TIPS Pesos E-11'!$F$10="10% (Medio Alto)",ROUND('Tabla de Amortizacion'!I22,8),IF('CALCULADORA TIPS Pesos E-11'!$F$10="14% (Alto)",ROUND('Tabla de Amortizacion'!L22,8),IF('CALCULADORA TIPS Pesos E-11'!$F$10=20%,ROUND('Tabla de Amortizacion'!O22,8),ROUND('Tabla de Amortizacion'!R22,8))))))</f>
        <v>0</v>
      </c>
    </row>
    <row r="22" spans="1:3" ht="12.75">
      <c r="A22" s="140">
        <f t="shared" si="0"/>
        <v>40587</v>
      </c>
      <c r="B22" s="141">
        <f>IF('CALCULADORA TIPS Pesos E-11'!$F$10="Contractual",ROUND('Tabla de Amortizacion'!B23,8),IF('CALCULADORA TIPS Pesos E-11'!$F$10="6% (Medio)",ROUND('Tabla de Amortizacion'!E23,8),IF('CALCULADORA TIPS Pesos E-11'!$F$10="10% (Medio Alto)",ROUND('Tabla de Amortizacion'!H23,8),IF('CALCULADORA TIPS Pesos E-11'!$F$10="14% (Alto)",ROUND('Tabla de Amortizacion'!K23,8),IF('CALCULADORA TIPS Pesos E-11'!$F$10=20%,ROUND('Tabla de Amortizacion'!N23,8),ROUND('Tabla de Amortizacion'!Q23,8))))))</f>
        <v>0.0303509</v>
      </c>
      <c r="C22" s="141">
        <f>IF('CALCULADORA TIPS Pesos E-11'!$F$10="Contractual",ROUND('Tabla de Amortizacion'!C23,8),IF('CALCULADORA TIPS Pesos E-11'!$F$10="6% (Medio)",ROUND('Tabla de Amortizacion'!F23,8),IF('CALCULADORA TIPS Pesos E-11'!$F$10="10% (Medio Alto)",ROUND('Tabla de Amortizacion'!I23,8),IF('CALCULADORA TIPS Pesos E-11'!$F$10="14% (Alto)",ROUND('Tabla de Amortizacion'!L23,8),IF('CALCULADORA TIPS Pesos E-11'!$F$10=20%,ROUND('Tabla de Amortizacion'!O23,8),ROUND('Tabla de Amortizacion'!R23,8))))))</f>
        <v>0</v>
      </c>
    </row>
    <row r="23" spans="1:3" ht="12.75">
      <c r="A23" s="140">
        <f t="shared" si="0"/>
        <v>40615</v>
      </c>
      <c r="B23" s="141">
        <f>IF('CALCULADORA TIPS Pesos E-11'!$F$10="Contractual",ROUND('Tabla de Amortizacion'!B24,8),IF('CALCULADORA TIPS Pesos E-11'!$F$10="6% (Medio)",ROUND('Tabla de Amortizacion'!E24,8),IF('CALCULADORA TIPS Pesos E-11'!$F$10="10% (Medio Alto)",ROUND('Tabla de Amortizacion'!H24,8),IF('CALCULADORA TIPS Pesos E-11'!$F$10="14% (Alto)",ROUND('Tabla de Amortizacion'!K24,8),IF('CALCULADORA TIPS Pesos E-11'!$F$10=20%,ROUND('Tabla de Amortizacion'!N24,8),ROUND('Tabla de Amortizacion'!Q24,8))))))</f>
        <v>0.03228024</v>
      </c>
      <c r="C23" s="141">
        <f>IF('CALCULADORA TIPS Pesos E-11'!$F$10="Contractual",ROUND('Tabla de Amortizacion'!C24,8),IF('CALCULADORA TIPS Pesos E-11'!$F$10="6% (Medio)",ROUND('Tabla de Amortizacion'!F24,8),IF('CALCULADORA TIPS Pesos E-11'!$F$10="10% (Medio Alto)",ROUND('Tabla de Amortizacion'!I24,8),IF('CALCULADORA TIPS Pesos E-11'!$F$10="14% (Alto)",ROUND('Tabla de Amortizacion'!L24,8),IF('CALCULADORA TIPS Pesos E-11'!$F$10=20%,ROUND('Tabla de Amortizacion'!O24,8),ROUND('Tabla de Amortizacion'!R24,8))))))</f>
        <v>0</v>
      </c>
    </row>
    <row r="24" spans="1:3" ht="12.75">
      <c r="A24" s="140">
        <f t="shared" si="0"/>
        <v>40646</v>
      </c>
      <c r="B24" s="141">
        <f>IF('CALCULADORA TIPS Pesos E-11'!$F$10="Contractual",ROUND('Tabla de Amortizacion'!B25,8),IF('CALCULADORA TIPS Pesos E-11'!$F$10="6% (Medio)",ROUND('Tabla de Amortizacion'!E25,8),IF('CALCULADORA TIPS Pesos E-11'!$F$10="10% (Medio Alto)",ROUND('Tabla de Amortizacion'!H25,8),IF('CALCULADORA TIPS Pesos E-11'!$F$10="14% (Alto)",ROUND('Tabla de Amortizacion'!K25,8),IF('CALCULADORA TIPS Pesos E-11'!$F$10=20%,ROUND('Tabla de Amortizacion'!N25,8),ROUND('Tabla de Amortizacion'!Q25,8))))))</f>
        <v>0.02848959</v>
      </c>
      <c r="C24" s="141">
        <f>IF('CALCULADORA TIPS Pesos E-11'!$F$10="Contractual",ROUND('Tabla de Amortizacion'!C25,8),IF('CALCULADORA TIPS Pesos E-11'!$F$10="6% (Medio)",ROUND('Tabla de Amortizacion'!F25,8),IF('CALCULADORA TIPS Pesos E-11'!$F$10="10% (Medio Alto)",ROUND('Tabla de Amortizacion'!I25,8),IF('CALCULADORA TIPS Pesos E-11'!$F$10="14% (Alto)",ROUND('Tabla de Amortizacion'!L25,8),IF('CALCULADORA TIPS Pesos E-11'!$F$10=20%,ROUND('Tabla de Amortizacion'!O25,8),ROUND('Tabla de Amortizacion'!R25,8))))))</f>
        <v>0</v>
      </c>
    </row>
    <row r="25" spans="1:3" ht="12.75">
      <c r="A25" s="140">
        <f t="shared" si="0"/>
        <v>40676</v>
      </c>
      <c r="B25" s="141">
        <f>IF('CALCULADORA TIPS Pesos E-11'!$F$10="Contractual",ROUND('Tabla de Amortizacion'!B26,8),IF('CALCULADORA TIPS Pesos E-11'!$F$10="6% (Medio)",ROUND('Tabla de Amortizacion'!E26,8),IF('CALCULADORA TIPS Pesos E-11'!$F$10="10% (Medio Alto)",ROUND('Tabla de Amortizacion'!H26,8),IF('CALCULADORA TIPS Pesos E-11'!$F$10="14% (Alto)",ROUND('Tabla de Amortizacion'!K26,8),IF('CALCULADORA TIPS Pesos E-11'!$F$10=20%,ROUND('Tabla de Amortizacion'!N26,8),ROUND('Tabla de Amortizacion'!Q26,8))))))</f>
        <v>0.02834801</v>
      </c>
      <c r="C25" s="141">
        <f>IF('CALCULADORA TIPS Pesos E-11'!$F$10="Contractual",ROUND('Tabla de Amortizacion'!C26,8),IF('CALCULADORA TIPS Pesos E-11'!$F$10="6% (Medio)",ROUND('Tabla de Amortizacion'!F26,8),IF('CALCULADORA TIPS Pesos E-11'!$F$10="10% (Medio Alto)",ROUND('Tabla de Amortizacion'!I26,8),IF('CALCULADORA TIPS Pesos E-11'!$F$10="14% (Alto)",ROUND('Tabla de Amortizacion'!L26,8),IF('CALCULADORA TIPS Pesos E-11'!$F$10=20%,ROUND('Tabla de Amortizacion'!O26,8),ROUND('Tabla de Amortizacion'!R26,8))))))</f>
        <v>0</v>
      </c>
    </row>
    <row r="26" spans="1:3" ht="12.75">
      <c r="A26" s="140">
        <f t="shared" si="0"/>
        <v>40707</v>
      </c>
      <c r="B26" s="141">
        <f>IF('CALCULADORA TIPS Pesos E-11'!$F$10="Contractual",ROUND('Tabla de Amortizacion'!B27,8),IF('CALCULADORA TIPS Pesos E-11'!$F$10="6% (Medio)",ROUND('Tabla de Amortizacion'!E27,8),IF('CALCULADORA TIPS Pesos E-11'!$F$10="10% (Medio Alto)",ROUND('Tabla de Amortizacion'!H27,8),IF('CALCULADORA TIPS Pesos E-11'!$F$10="14% (Alto)",ROUND('Tabla de Amortizacion'!K27,8),IF('CALCULADORA TIPS Pesos E-11'!$F$10=20%,ROUND('Tabla de Amortizacion'!N27,8),ROUND('Tabla de Amortizacion'!Q27,8))))))</f>
        <v>0.02210602</v>
      </c>
      <c r="C26" s="141">
        <f>IF('CALCULADORA TIPS Pesos E-11'!$F$10="Contractual",ROUND('Tabla de Amortizacion'!C27,8),IF('CALCULADORA TIPS Pesos E-11'!$F$10="6% (Medio)",ROUND('Tabla de Amortizacion'!F27,8),IF('CALCULADORA TIPS Pesos E-11'!$F$10="10% (Medio Alto)",ROUND('Tabla de Amortizacion'!I27,8),IF('CALCULADORA TIPS Pesos E-11'!$F$10="14% (Alto)",ROUND('Tabla de Amortizacion'!L27,8),IF('CALCULADORA TIPS Pesos E-11'!$F$10=20%,ROUND('Tabla de Amortizacion'!O27,8),ROUND('Tabla de Amortizacion'!R27,8))))))</f>
        <v>0</v>
      </c>
    </row>
    <row r="27" spans="1:3" ht="12.75">
      <c r="A27" s="140">
        <f t="shared" si="0"/>
        <v>40737</v>
      </c>
      <c r="B27" s="141">
        <f>IF('CALCULADORA TIPS Pesos E-11'!$F$10="Contractual",ROUND('Tabla de Amortizacion'!B28,8),IF('CALCULADORA TIPS Pesos E-11'!$F$10="6% (Medio)",ROUND('Tabla de Amortizacion'!E28,8),IF('CALCULADORA TIPS Pesos E-11'!$F$10="10% (Medio Alto)",ROUND('Tabla de Amortizacion'!H28,8),IF('CALCULADORA TIPS Pesos E-11'!$F$10="14% (Alto)",ROUND('Tabla de Amortizacion'!K28,8),IF('CALCULADORA TIPS Pesos E-11'!$F$10=20%,ROUND('Tabla de Amortizacion'!N28,8),ROUND('Tabla de Amortizacion'!Q28,8))))))</f>
        <v>0.02949235</v>
      </c>
      <c r="C27" s="141">
        <f>IF('CALCULADORA TIPS Pesos E-11'!$F$10="Contractual",ROUND('Tabla de Amortizacion'!C28,8),IF('CALCULADORA TIPS Pesos E-11'!$F$10="6% (Medio)",ROUND('Tabla de Amortizacion'!F28,8),IF('CALCULADORA TIPS Pesos E-11'!$F$10="10% (Medio Alto)",ROUND('Tabla de Amortizacion'!I28,8),IF('CALCULADORA TIPS Pesos E-11'!$F$10="14% (Alto)",ROUND('Tabla de Amortizacion'!L28,8),IF('CALCULADORA TIPS Pesos E-11'!$F$10=20%,ROUND('Tabla de Amortizacion'!O28,8),ROUND('Tabla de Amortizacion'!R28,8))))))</f>
        <v>0</v>
      </c>
    </row>
    <row r="28" spans="1:3" ht="12.75">
      <c r="A28" s="140">
        <f t="shared" si="0"/>
        <v>40768</v>
      </c>
      <c r="B28" s="141">
        <f>IF('CALCULADORA TIPS Pesos E-11'!$F$10="Contractual",ROUND('Tabla de Amortizacion'!B29,8),IF('CALCULADORA TIPS Pesos E-11'!$F$10="6% (Medio)",ROUND('Tabla de Amortizacion'!E29,8),IF('CALCULADORA TIPS Pesos E-11'!$F$10="10% (Medio Alto)",ROUND('Tabla de Amortizacion'!H29,8),IF('CALCULADORA TIPS Pesos E-11'!$F$10="14% (Alto)",ROUND('Tabla de Amortizacion'!K29,8),IF('CALCULADORA TIPS Pesos E-11'!$F$10=20%,ROUND('Tabla de Amortizacion'!N29,8),ROUND('Tabla de Amortizacion'!Q29,8))))))</f>
        <v>0.02276454</v>
      </c>
      <c r="C28" s="141">
        <f>IF('CALCULADORA TIPS Pesos E-11'!$F$10="Contractual",ROUND('Tabla de Amortizacion'!C29,8),IF('CALCULADORA TIPS Pesos E-11'!$F$10="6% (Medio)",ROUND('Tabla de Amortizacion'!F29,8),IF('CALCULADORA TIPS Pesos E-11'!$F$10="10% (Medio Alto)",ROUND('Tabla de Amortizacion'!I29,8),IF('CALCULADORA TIPS Pesos E-11'!$F$10="14% (Alto)",ROUND('Tabla de Amortizacion'!L29,8),IF('CALCULADORA TIPS Pesos E-11'!$F$10=20%,ROUND('Tabla de Amortizacion'!O29,8),ROUND('Tabla de Amortizacion'!R29,8))))))</f>
        <v>0</v>
      </c>
    </row>
    <row r="29" spans="1:3" ht="12.75">
      <c r="A29" s="140">
        <f t="shared" si="0"/>
        <v>40799</v>
      </c>
      <c r="B29" s="141">
        <f>IF('CALCULADORA TIPS Pesos E-11'!$F$10="Contractual",ROUND('Tabla de Amortizacion'!B30,8),IF('CALCULADORA TIPS Pesos E-11'!$F$10="6% (Medio)",ROUND('Tabla de Amortizacion'!E30,8),IF('CALCULADORA TIPS Pesos E-11'!$F$10="10% (Medio Alto)",ROUND('Tabla de Amortizacion'!H30,8),IF('CALCULADORA TIPS Pesos E-11'!$F$10="14% (Alto)",ROUND('Tabla de Amortizacion'!K30,8),IF('CALCULADORA TIPS Pesos E-11'!$F$10=20%,ROUND('Tabla de Amortizacion'!N30,8),ROUND('Tabla de Amortizacion'!Q30,8))))))</f>
        <v>0.016884</v>
      </c>
      <c r="C29" s="141">
        <f>IF('CALCULADORA TIPS Pesos E-11'!$F$10="Contractual",ROUND('Tabla de Amortizacion'!C30,8),IF('CALCULADORA TIPS Pesos E-11'!$F$10="6% (Medio)",ROUND('Tabla de Amortizacion'!F30,8),IF('CALCULADORA TIPS Pesos E-11'!$F$10="10% (Medio Alto)",ROUND('Tabla de Amortizacion'!I30,8),IF('CALCULADORA TIPS Pesos E-11'!$F$10="14% (Alto)",ROUND('Tabla de Amortizacion'!L30,8),IF('CALCULADORA TIPS Pesos E-11'!$F$10=20%,ROUND('Tabla de Amortizacion'!O30,8),ROUND('Tabla de Amortizacion'!R30,8))))))</f>
        <v>0</v>
      </c>
    </row>
    <row r="30" spans="1:3" ht="12.75">
      <c r="A30" s="140">
        <f t="shared" si="0"/>
        <v>40829</v>
      </c>
      <c r="B30" s="141">
        <f>IF('CALCULADORA TIPS Pesos E-11'!$F$10="Contractual",ROUND('Tabla de Amortizacion'!B31,8),IF('CALCULADORA TIPS Pesos E-11'!$F$10="6% (Medio)",ROUND('Tabla de Amortizacion'!E31,8),IF('CALCULADORA TIPS Pesos E-11'!$F$10="10% (Medio Alto)",ROUND('Tabla de Amortizacion'!H31,8),IF('CALCULADORA TIPS Pesos E-11'!$F$10="14% (Alto)",ROUND('Tabla de Amortizacion'!K31,8),IF('CALCULADORA TIPS Pesos E-11'!$F$10=20%,ROUND('Tabla de Amortizacion'!N31,8),ROUND('Tabla de Amortizacion'!Q31,8))))))</f>
        <v>0.02105983</v>
      </c>
      <c r="C30" s="141">
        <f>IF('CALCULADORA TIPS Pesos E-11'!$F$10="Contractual",ROUND('Tabla de Amortizacion'!C31,8),IF('CALCULADORA TIPS Pesos E-11'!$F$10="6% (Medio)",ROUND('Tabla de Amortizacion'!F31,8),IF('CALCULADORA TIPS Pesos E-11'!$F$10="10% (Medio Alto)",ROUND('Tabla de Amortizacion'!I31,8),IF('CALCULADORA TIPS Pesos E-11'!$F$10="14% (Alto)",ROUND('Tabla de Amortizacion'!L31,8),IF('CALCULADORA TIPS Pesos E-11'!$F$10=20%,ROUND('Tabla de Amortizacion'!O31,8),ROUND('Tabla de Amortizacion'!R31,8))))))</f>
        <v>0</v>
      </c>
    </row>
    <row r="31" spans="1:3" ht="12.75">
      <c r="A31" s="140">
        <f t="shared" si="0"/>
        <v>40860</v>
      </c>
      <c r="B31" s="141">
        <f>IF('CALCULADORA TIPS Pesos E-11'!$F$10="Contractual",ROUND('Tabla de Amortizacion'!B32,8),IF('CALCULADORA TIPS Pesos E-11'!$F$10="6% (Medio)",ROUND('Tabla de Amortizacion'!E32,8),IF('CALCULADORA TIPS Pesos E-11'!$F$10="10% (Medio Alto)",ROUND('Tabla de Amortizacion'!H32,8),IF('CALCULADORA TIPS Pesos E-11'!$F$10="14% (Alto)",ROUND('Tabla de Amortizacion'!K32,8),IF('CALCULADORA TIPS Pesos E-11'!$F$10=20%,ROUND('Tabla de Amortizacion'!N32,8),ROUND('Tabla de Amortizacion'!Q32,8))))))</f>
        <v>0.00872671</v>
      </c>
      <c r="C31" s="141">
        <f>IF('CALCULADORA TIPS Pesos E-11'!$F$10="Contractual",ROUND('Tabla de Amortizacion'!C32,8),IF('CALCULADORA TIPS Pesos E-11'!$F$10="6% (Medio)",ROUND('Tabla de Amortizacion'!F32,8),IF('CALCULADORA TIPS Pesos E-11'!$F$10="10% (Medio Alto)",ROUND('Tabla de Amortizacion'!I32,8),IF('CALCULADORA TIPS Pesos E-11'!$F$10="14% (Alto)",ROUND('Tabla de Amortizacion'!L32,8),IF('CALCULADORA TIPS Pesos E-11'!$F$10=20%,ROUND('Tabla de Amortizacion'!O32,8),ROUND('Tabla de Amortizacion'!R32,8))))))</f>
        <v>0.02718619</v>
      </c>
    </row>
    <row r="32" spans="1:3" ht="12.75">
      <c r="A32" s="140">
        <f t="shared" si="0"/>
        <v>40890</v>
      </c>
      <c r="B32" s="141">
        <f>IF('CALCULADORA TIPS Pesos E-11'!$F$10="Contractual",ROUND('Tabla de Amortizacion'!B33,8),IF('CALCULADORA TIPS Pesos E-11'!$F$10="6% (Medio)",ROUND('Tabla de Amortizacion'!E33,8),IF('CALCULADORA TIPS Pesos E-11'!$F$10="10% (Medio Alto)",ROUND('Tabla de Amortizacion'!H33,8),IF('CALCULADORA TIPS Pesos E-11'!$F$10="14% (Alto)",ROUND('Tabla de Amortizacion'!K33,8),IF('CALCULADORA TIPS Pesos E-11'!$F$10=20%,ROUND('Tabla de Amortizacion'!N33,8),ROUND('Tabla de Amortizacion'!Q33,8))))))</f>
        <v>0</v>
      </c>
      <c r="C32" s="141">
        <f>IF('CALCULADORA TIPS Pesos E-11'!$F$10="Contractual",ROUND('Tabla de Amortizacion'!C33,8),IF('CALCULADORA TIPS Pesos E-11'!$F$10="6% (Medio)",ROUND('Tabla de Amortizacion'!F33,8),IF('CALCULADORA TIPS Pesos E-11'!$F$10="10% (Medio Alto)",ROUND('Tabla de Amortizacion'!I33,8),IF('CALCULADORA TIPS Pesos E-11'!$F$10="14% (Alto)",ROUND('Tabla de Amortizacion'!L33,8),IF('CALCULADORA TIPS Pesos E-11'!$F$10=20%,ROUND('Tabla de Amortizacion'!O33,8),ROUND('Tabla de Amortizacion'!R33,8))))))</f>
        <v>0.04341103</v>
      </c>
    </row>
    <row r="33" spans="1:3" ht="12.75">
      <c r="A33" s="140">
        <f t="shared" si="0"/>
        <v>40921</v>
      </c>
      <c r="B33" s="141">
        <f>IF('CALCULADORA TIPS Pesos E-11'!$F$10="Contractual",ROUND('Tabla de Amortizacion'!B34,8),IF('CALCULADORA TIPS Pesos E-11'!$F$10="6% (Medio)",ROUND('Tabla de Amortizacion'!E34,8),IF('CALCULADORA TIPS Pesos E-11'!$F$10="10% (Medio Alto)",ROUND('Tabla de Amortizacion'!H34,8),IF('CALCULADORA TIPS Pesos E-11'!$F$10="14% (Alto)",ROUND('Tabla de Amortizacion'!K34,8),IF('CALCULADORA TIPS Pesos E-11'!$F$10=20%,ROUND('Tabla de Amortizacion'!N34,8),ROUND('Tabla de Amortizacion'!Q34,8))))))</f>
        <v>0</v>
      </c>
      <c r="C33" s="141">
        <f>IF('CALCULADORA TIPS Pesos E-11'!$F$10="Contractual",ROUND('Tabla de Amortizacion'!C34,8),IF('CALCULADORA TIPS Pesos E-11'!$F$10="6% (Medio)",ROUND('Tabla de Amortizacion'!F34,8),IF('CALCULADORA TIPS Pesos E-11'!$F$10="10% (Medio Alto)",ROUND('Tabla de Amortizacion'!I34,8),IF('CALCULADORA TIPS Pesos E-11'!$F$10="14% (Alto)",ROUND('Tabla de Amortizacion'!L34,8),IF('CALCULADORA TIPS Pesos E-11'!$F$10=20%,ROUND('Tabla de Amortizacion'!O34,8),ROUND('Tabla de Amortizacion'!R34,8))))))</f>
        <v>0.04538846</v>
      </c>
    </row>
    <row r="34" spans="1:3" ht="12.75">
      <c r="A34" s="140">
        <f t="shared" si="0"/>
        <v>40952</v>
      </c>
      <c r="B34" s="141">
        <f>IF('CALCULADORA TIPS Pesos E-11'!$F$10="Contractual",ROUND('Tabla de Amortizacion'!B35,8),IF('CALCULADORA TIPS Pesos E-11'!$F$10="6% (Medio)",ROUND('Tabla de Amortizacion'!E35,8),IF('CALCULADORA TIPS Pesos E-11'!$F$10="10% (Medio Alto)",ROUND('Tabla de Amortizacion'!H35,8),IF('CALCULADORA TIPS Pesos E-11'!$F$10="14% (Alto)",ROUND('Tabla de Amortizacion'!K35,8),IF('CALCULADORA TIPS Pesos E-11'!$F$10=20%,ROUND('Tabla de Amortizacion'!N35,8),ROUND('Tabla de Amortizacion'!Q35,8))))))</f>
        <v>0</v>
      </c>
      <c r="C34" s="141">
        <f>IF('CALCULADORA TIPS Pesos E-11'!$F$10="Contractual",ROUND('Tabla de Amortizacion'!C35,8),IF('CALCULADORA TIPS Pesos E-11'!$F$10="6% (Medio)",ROUND('Tabla de Amortizacion'!F35,8),IF('CALCULADORA TIPS Pesos E-11'!$F$10="10% (Medio Alto)",ROUND('Tabla de Amortizacion'!I35,8),IF('CALCULADORA TIPS Pesos E-11'!$F$10="14% (Alto)",ROUND('Tabla de Amortizacion'!L35,8),IF('CALCULADORA TIPS Pesos E-11'!$F$10=20%,ROUND('Tabla de Amortizacion'!O35,8),ROUND('Tabla de Amortizacion'!R35,8))))))</f>
        <v>0.03897381</v>
      </c>
    </row>
    <row r="35" spans="1:3" ht="12.75">
      <c r="A35" s="140">
        <f aca="true" t="shared" si="1" ref="A35:A66">_XLL.FECHA.MES(A34,1)</f>
        <v>40981</v>
      </c>
      <c r="B35" s="141">
        <f>IF('CALCULADORA TIPS Pesos E-11'!$F$10="Contractual",ROUND('Tabla de Amortizacion'!B36,8),IF('CALCULADORA TIPS Pesos E-11'!$F$10="6% (Medio)",ROUND('Tabla de Amortizacion'!E36,8),IF('CALCULADORA TIPS Pesos E-11'!$F$10="10% (Medio Alto)",ROUND('Tabla de Amortizacion'!H36,8),IF('CALCULADORA TIPS Pesos E-11'!$F$10="14% (Alto)",ROUND('Tabla de Amortizacion'!K36,8),IF('CALCULADORA TIPS Pesos E-11'!$F$10=20%,ROUND('Tabla de Amortizacion'!N36,8),ROUND('Tabla de Amortizacion'!Q36,8))))))</f>
        <v>0</v>
      </c>
      <c r="C35" s="141">
        <f>IF('CALCULADORA TIPS Pesos E-11'!$F$10="Contractual",ROUND('Tabla de Amortizacion'!C36,8),IF('CALCULADORA TIPS Pesos E-11'!$F$10="6% (Medio)",ROUND('Tabla de Amortizacion'!F36,8),IF('CALCULADORA TIPS Pesos E-11'!$F$10="10% (Medio Alto)",ROUND('Tabla de Amortizacion'!I36,8),IF('CALCULADORA TIPS Pesos E-11'!$F$10="14% (Alto)",ROUND('Tabla de Amortizacion'!L36,8),IF('CALCULADORA TIPS Pesos E-11'!$F$10=20%,ROUND('Tabla de Amortizacion'!O36,8),ROUND('Tabla de Amortizacion'!R36,8))))))</f>
        <v>0.06079499</v>
      </c>
    </row>
    <row r="36" spans="1:3" ht="12.75">
      <c r="A36" s="140">
        <f t="shared" si="1"/>
        <v>41012</v>
      </c>
      <c r="B36" s="141">
        <f>IF('CALCULADORA TIPS Pesos E-11'!$F$10="Contractual",ROUND('Tabla de Amortizacion'!B37,8),IF('CALCULADORA TIPS Pesos E-11'!$F$10="6% (Medio)",ROUND('Tabla de Amortizacion'!E37,8),IF('CALCULADORA TIPS Pesos E-11'!$F$10="10% (Medio Alto)",ROUND('Tabla de Amortizacion'!H37,8),IF('CALCULADORA TIPS Pesos E-11'!$F$10="14% (Alto)",ROUND('Tabla de Amortizacion'!K37,8),IF('CALCULADORA TIPS Pesos E-11'!$F$10=20%,ROUND('Tabla de Amortizacion'!N37,8),ROUND('Tabla de Amortizacion'!Q37,8))))))</f>
        <v>0</v>
      </c>
      <c r="C36" s="141">
        <f>IF('CALCULADORA TIPS Pesos E-11'!$F$10="Contractual",ROUND('Tabla de Amortizacion'!C37,8),IF('CALCULADORA TIPS Pesos E-11'!$F$10="6% (Medio)",ROUND('Tabla de Amortizacion'!F37,8),IF('CALCULADORA TIPS Pesos E-11'!$F$10="10% (Medio Alto)",ROUND('Tabla de Amortizacion'!I37,8),IF('CALCULADORA TIPS Pesos E-11'!$F$10="14% (Alto)",ROUND('Tabla de Amortizacion'!L37,8),IF('CALCULADORA TIPS Pesos E-11'!$F$10=20%,ROUND('Tabla de Amortizacion'!O37,8),ROUND('Tabla de Amortizacion'!R37,8))))))</f>
        <v>0.04681521</v>
      </c>
    </row>
    <row r="37" spans="1:3" ht="12.75">
      <c r="A37" s="140">
        <f t="shared" si="1"/>
        <v>41042</v>
      </c>
      <c r="B37" s="141">
        <f>IF('CALCULADORA TIPS Pesos E-11'!$F$10="Contractual",ROUND('Tabla de Amortizacion'!B38,8),IF('CALCULADORA TIPS Pesos E-11'!$F$10="6% (Medio)",ROUND('Tabla de Amortizacion'!E38,8),IF('CALCULADORA TIPS Pesos E-11'!$F$10="10% (Medio Alto)",ROUND('Tabla de Amortizacion'!H38,8),IF('CALCULADORA TIPS Pesos E-11'!$F$10="14% (Alto)",ROUND('Tabla de Amortizacion'!K38,8),IF('CALCULADORA TIPS Pesos E-11'!$F$10=20%,ROUND('Tabla de Amortizacion'!N38,8),ROUND('Tabla de Amortizacion'!Q38,8))))))</f>
        <v>0</v>
      </c>
      <c r="C37" s="141">
        <f>IF('CALCULADORA TIPS Pesos E-11'!$F$10="Contractual",ROUND('Tabla de Amortizacion'!C38,8),IF('CALCULADORA TIPS Pesos E-11'!$F$10="6% (Medio)",ROUND('Tabla de Amortizacion'!F38,8),IF('CALCULADORA TIPS Pesos E-11'!$F$10="10% (Medio Alto)",ROUND('Tabla de Amortizacion'!I38,8),IF('CALCULADORA TIPS Pesos E-11'!$F$10="14% (Alto)",ROUND('Tabla de Amortizacion'!L38,8),IF('CALCULADORA TIPS Pesos E-11'!$F$10=20%,ROUND('Tabla de Amortizacion'!O38,8),ROUND('Tabla de Amortizacion'!R38,8))))))</f>
        <v>0.04387295</v>
      </c>
    </row>
    <row r="38" spans="1:3" ht="12.75">
      <c r="A38" s="140">
        <f t="shared" si="1"/>
        <v>41073</v>
      </c>
      <c r="B38" s="141">
        <f>IF('CALCULADORA TIPS Pesos E-11'!$F$10="Contractual",ROUND('Tabla de Amortizacion'!B39,8),IF('CALCULADORA TIPS Pesos E-11'!$F$10="6% (Medio)",ROUND('Tabla de Amortizacion'!E39,8),IF('CALCULADORA TIPS Pesos E-11'!$F$10="10% (Medio Alto)",ROUND('Tabla de Amortizacion'!H39,8),IF('CALCULADORA TIPS Pesos E-11'!$F$10="14% (Alto)",ROUND('Tabla de Amortizacion'!K39,8),IF('CALCULADORA TIPS Pesos E-11'!$F$10=20%,ROUND('Tabla de Amortizacion'!N39,8),ROUND('Tabla de Amortizacion'!Q39,8))))))</f>
        <v>0</v>
      </c>
      <c r="C38" s="141">
        <f>IF('CALCULADORA TIPS Pesos E-11'!$F$10="Contractual",ROUND('Tabla de Amortizacion'!C39,8),IF('CALCULADORA TIPS Pesos E-11'!$F$10="6% (Medio)",ROUND('Tabla de Amortizacion'!F39,8),IF('CALCULADORA TIPS Pesos E-11'!$F$10="10% (Medio Alto)",ROUND('Tabla de Amortizacion'!I39,8),IF('CALCULADORA TIPS Pesos E-11'!$F$10="14% (Alto)",ROUND('Tabla de Amortizacion'!L39,8),IF('CALCULADORA TIPS Pesos E-11'!$F$10=20%,ROUND('Tabla de Amortizacion'!O39,8),ROUND('Tabla de Amortizacion'!R39,8))))))</f>
        <v>0.04902516</v>
      </c>
    </row>
    <row r="39" spans="1:3" ht="12.75">
      <c r="A39" s="140">
        <f t="shared" si="1"/>
        <v>41103</v>
      </c>
      <c r="B39" s="141">
        <f>IF('CALCULADORA TIPS Pesos E-11'!$F$10="Contractual",ROUND('Tabla de Amortizacion'!B40,8),IF('CALCULADORA TIPS Pesos E-11'!$F$10="6% (Medio)",ROUND('Tabla de Amortizacion'!E40,8),IF('CALCULADORA TIPS Pesos E-11'!$F$10="10% (Medio Alto)",ROUND('Tabla de Amortizacion'!H40,8),IF('CALCULADORA TIPS Pesos E-11'!$F$10="14% (Alto)",ROUND('Tabla de Amortizacion'!K40,8),IF('CALCULADORA TIPS Pesos E-11'!$F$10=20%,ROUND('Tabla de Amortizacion'!N40,8),ROUND('Tabla de Amortizacion'!Q40,8))))))</f>
        <v>0</v>
      </c>
      <c r="C39" s="141">
        <f>IF('CALCULADORA TIPS Pesos E-11'!$F$10="Contractual",ROUND('Tabla de Amortizacion'!C40,8),IF('CALCULADORA TIPS Pesos E-11'!$F$10="6% (Medio)",ROUND('Tabla de Amortizacion'!F40,8),IF('CALCULADORA TIPS Pesos E-11'!$F$10="10% (Medio Alto)",ROUND('Tabla de Amortizacion'!I40,8),IF('CALCULADORA TIPS Pesos E-11'!$F$10="14% (Alto)",ROUND('Tabla de Amortizacion'!L40,8),IF('CALCULADORA TIPS Pesos E-11'!$F$10=20%,ROUND('Tabla de Amortizacion'!O40,8),ROUND('Tabla de Amortizacion'!R40,8))))))</f>
        <v>0.04531415</v>
      </c>
    </row>
    <row r="40" spans="1:3" ht="12.75">
      <c r="A40" s="140">
        <f t="shared" si="1"/>
        <v>41134</v>
      </c>
      <c r="B40" s="141">
        <f>IF('CALCULADORA TIPS Pesos E-11'!$F$10="Contractual",ROUND('Tabla de Amortizacion'!B41,8),IF('CALCULADORA TIPS Pesos E-11'!$F$10="6% (Medio)",ROUND('Tabla de Amortizacion'!E41,8),IF('CALCULADORA TIPS Pesos E-11'!$F$10="10% (Medio Alto)",ROUND('Tabla de Amortizacion'!H41,8),IF('CALCULADORA TIPS Pesos E-11'!$F$10="14% (Alto)",ROUND('Tabla de Amortizacion'!K41,8),IF('CALCULADORA TIPS Pesos E-11'!$F$10=20%,ROUND('Tabla de Amortizacion'!N41,8),ROUND('Tabla de Amortizacion'!Q41,8))))))</f>
        <v>0</v>
      </c>
      <c r="C40" s="141">
        <f>IF('CALCULADORA TIPS Pesos E-11'!$F$10="Contractual",ROUND('Tabla de Amortizacion'!C41,8),IF('CALCULADORA TIPS Pesos E-11'!$F$10="6% (Medio)",ROUND('Tabla de Amortizacion'!F41,8),IF('CALCULADORA TIPS Pesos E-11'!$F$10="10% (Medio Alto)",ROUND('Tabla de Amortizacion'!I41,8),IF('CALCULADORA TIPS Pesos E-11'!$F$10="14% (Alto)",ROUND('Tabla de Amortizacion'!L41,8),IF('CALCULADORA TIPS Pesos E-11'!$F$10=20%,ROUND('Tabla de Amortizacion'!O41,8),ROUND('Tabla de Amortizacion'!R41,8))))))</f>
        <v>0.04071745</v>
      </c>
    </row>
    <row r="41" spans="1:3" ht="12.75">
      <c r="A41" s="140">
        <f t="shared" si="1"/>
        <v>41165</v>
      </c>
      <c r="B41" s="141">
        <f>IF('CALCULADORA TIPS Pesos E-11'!$F$10="Contractual",ROUND('Tabla de Amortizacion'!B42,8),IF('CALCULADORA TIPS Pesos E-11'!$F$10="6% (Medio)",ROUND('Tabla de Amortizacion'!E42,8),IF('CALCULADORA TIPS Pesos E-11'!$F$10="10% (Medio Alto)",ROUND('Tabla de Amortizacion'!H42,8),IF('CALCULADORA TIPS Pesos E-11'!$F$10="14% (Alto)",ROUND('Tabla de Amortizacion'!K42,8),IF('CALCULADORA TIPS Pesos E-11'!$F$10=20%,ROUND('Tabla de Amortizacion'!N42,8),ROUND('Tabla de Amortizacion'!Q42,8))))))</f>
        <v>0</v>
      </c>
      <c r="C41" s="141">
        <f>IF('CALCULADORA TIPS Pesos E-11'!$F$10="Contractual",ROUND('Tabla de Amortizacion'!C42,8),IF('CALCULADORA TIPS Pesos E-11'!$F$10="6% (Medio)",ROUND('Tabla de Amortizacion'!F42,8),IF('CALCULADORA TIPS Pesos E-11'!$F$10="10% (Medio Alto)",ROUND('Tabla de Amortizacion'!I42,8),IF('CALCULADORA TIPS Pesos E-11'!$F$10="14% (Alto)",ROUND('Tabla de Amortizacion'!L42,8),IF('CALCULADORA TIPS Pesos E-11'!$F$10=20%,ROUND('Tabla de Amortizacion'!O42,8),ROUND('Tabla de Amortizacion'!R42,8))))))</f>
        <v>0.05152687</v>
      </c>
    </row>
    <row r="42" spans="1:3" ht="12.75">
      <c r="A42" s="140">
        <f t="shared" si="1"/>
        <v>41195</v>
      </c>
      <c r="B42" s="141">
        <f>IF('CALCULADORA TIPS Pesos E-11'!$F$10="Contractual",ROUND('Tabla de Amortizacion'!B43,8),IF('CALCULADORA TIPS Pesos E-11'!$F$10="6% (Medio)",ROUND('Tabla de Amortizacion'!E43,8),IF('CALCULADORA TIPS Pesos E-11'!$F$10="10% (Medio Alto)",ROUND('Tabla de Amortizacion'!H43,8),IF('CALCULADORA TIPS Pesos E-11'!$F$10="14% (Alto)",ROUND('Tabla de Amortizacion'!K43,8),IF('CALCULADORA TIPS Pesos E-11'!$F$10=20%,ROUND('Tabla de Amortizacion'!N43,8),ROUND('Tabla de Amortizacion'!Q43,8))))))</f>
        <v>0</v>
      </c>
      <c r="C42" s="141">
        <f>IF('CALCULADORA TIPS Pesos E-11'!$F$10="Contractual",ROUND('Tabla de Amortizacion'!C43,8),IF('CALCULADORA TIPS Pesos E-11'!$F$10="6% (Medio)",ROUND('Tabla de Amortizacion'!F43,8),IF('CALCULADORA TIPS Pesos E-11'!$F$10="10% (Medio Alto)",ROUND('Tabla de Amortizacion'!I43,8),IF('CALCULADORA TIPS Pesos E-11'!$F$10="14% (Alto)",ROUND('Tabla de Amortizacion'!L43,8),IF('CALCULADORA TIPS Pesos E-11'!$F$10=20%,ROUND('Tabla de Amortizacion'!O43,8),ROUND('Tabla de Amortizacion'!R43,8))))))</f>
        <v>0.0442531</v>
      </c>
    </row>
    <row r="43" spans="1:3" ht="12.75">
      <c r="A43" s="140">
        <f t="shared" si="1"/>
        <v>41226</v>
      </c>
      <c r="B43" s="141">
        <f>IF('CALCULADORA TIPS Pesos E-11'!$F$10="Contractual",ROUND('Tabla de Amortizacion'!B44,8),IF('CALCULADORA TIPS Pesos E-11'!$F$10="6% (Medio)",ROUND('Tabla de Amortizacion'!E44,8),IF('CALCULADORA TIPS Pesos E-11'!$F$10="10% (Medio Alto)",ROUND('Tabla de Amortizacion'!H44,8),IF('CALCULADORA TIPS Pesos E-11'!$F$10="14% (Alto)",ROUND('Tabla de Amortizacion'!K44,8),IF('CALCULADORA TIPS Pesos E-11'!$F$10=20%,ROUND('Tabla de Amortizacion'!N44,8),ROUND('Tabla de Amortizacion'!Q44,8))))))</f>
        <v>0</v>
      </c>
      <c r="C43" s="141">
        <f>IF('CALCULADORA TIPS Pesos E-11'!$F$10="Contractual",ROUND('Tabla de Amortizacion'!C44,8),IF('CALCULADORA TIPS Pesos E-11'!$F$10="6% (Medio)",ROUND('Tabla de Amortizacion'!F44,8),IF('CALCULADORA TIPS Pesos E-11'!$F$10="10% (Medio Alto)",ROUND('Tabla de Amortizacion'!I44,8),IF('CALCULADORA TIPS Pesos E-11'!$F$10="14% (Alto)",ROUND('Tabla de Amortizacion'!L44,8),IF('CALCULADORA TIPS Pesos E-11'!$F$10=20%,ROUND('Tabla de Amortizacion'!O44,8),ROUND('Tabla de Amortizacion'!R44,8))))))</f>
        <v>0.03483242</v>
      </c>
    </row>
    <row r="44" spans="1:3" ht="12.75">
      <c r="A44" s="140">
        <f t="shared" si="1"/>
        <v>41256</v>
      </c>
      <c r="B44" s="141">
        <f>IF('CALCULADORA TIPS Pesos E-11'!$F$10="Contractual",ROUND('Tabla de Amortizacion'!B45,8),IF('CALCULADORA TIPS Pesos E-11'!$F$10="6% (Medio)",ROUND('Tabla de Amortizacion'!E45,8),IF('CALCULADORA TIPS Pesos E-11'!$F$10="10% (Medio Alto)",ROUND('Tabla de Amortizacion'!H45,8),IF('CALCULADORA TIPS Pesos E-11'!$F$10="14% (Alto)",ROUND('Tabla de Amortizacion'!K45,8),IF('CALCULADORA TIPS Pesos E-11'!$F$10=20%,ROUND('Tabla de Amortizacion'!N45,8),ROUND('Tabla de Amortizacion'!Q45,8))))))</f>
        <v>0</v>
      </c>
      <c r="C44" s="141">
        <f>IF('CALCULADORA TIPS Pesos E-11'!$F$10="Contractual",ROUND('Tabla de Amortizacion'!C45,8),IF('CALCULADORA TIPS Pesos E-11'!$F$10="6% (Medio)",ROUND('Tabla de Amortizacion'!F45,8),IF('CALCULADORA TIPS Pesos E-11'!$F$10="10% (Medio Alto)",ROUND('Tabla de Amortizacion'!I45,8),IF('CALCULADORA TIPS Pesos E-11'!$F$10="14% (Alto)",ROUND('Tabla de Amortizacion'!L45,8),IF('CALCULADORA TIPS Pesos E-11'!$F$10=20%,ROUND('Tabla de Amortizacion'!O45,8),ROUND('Tabla de Amortizacion'!R45,8))))))</f>
        <v>0.05490163</v>
      </c>
    </row>
    <row r="45" spans="1:3" ht="12.75">
      <c r="A45" s="140">
        <f t="shared" si="1"/>
        <v>41287</v>
      </c>
      <c r="B45" s="141">
        <f>IF('CALCULADORA TIPS Pesos E-11'!$F$10="Contractual",ROUND('Tabla de Amortizacion'!B46,8),IF('CALCULADORA TIPS Pesos E-11'!$F$10="6% (Medio)",ROUND('Tabla de Amortizacion'!E46,8),IF('CALCULADORA TIPS Pesos E-11'!$F$10="10% (Medio Alto)",ROUND('Tabla de Amortizacion'!H46,8),IF('CALCULADORA TIPS Pesos E-11'!$F$10="14% (Alto)",ROUND('Tabla de Amortizacion'!K46,8),IF('CALCULADORA TIPS Pesos E-11'!$F$10=20%,ROUND('Tabla de Amortizacion'!N46,8),ROUND('Tabla de Amortizacion'!Q46,8))))))</f>
        <v>0</v>
      </c>
      <c r="C45" s="141">
        <f>IF('CALCULADORA TIPS Pesos E-11'!$F$10="Contractual",ROUND('Tabla de Amortizacion'!C46,8),IF('CALCULADORA TIPS Pesos E-11'!$F$10="6% (Medio)",ROUND('Tabla de Amortizacion'!F46,8),IF('CALCULADORA TIPS Pesos E-11'!$F$10="10% (Medio Alto)",ROUND('Tabla de Amortizacion'!I46,8),IF('CALCULADORA TIPS Pesos E-11'!$F$10="14% (Alto)",ROUND('Tabla de Amortizacion'!L46,8),IF('CALCULADORA TIPS Pesos E-11'!$F$10=20%,ROUND('Tabla de Amortizacion'!O46,8),ROUND('Tabla de Amortizacion'!R46,8))))))</f>
        <v>0.04231971</v>
      </c>
    </row>
    <row r="46" spans="1:3" ht="12.75">
      <c r="A46" s="140">
        <f t="shared" si="1"/>
        <v>41318</v>
      </c>
      <c r="B46" s="141">
        <f>IF('CALCULADORA TIPS Pesos E-11'!$F$10="Contractual",ROUND('Tabla de Amortizacion'!B47,8),IF('CALCULADORA TIPS Pesos E-11'!$F$10="6% (Medio)",ROUND('Tabla de Amortizacion'!E47,8),IF('CALCULADORA TIPS Pesos E-11'!$F$10="10% (Medio Alto)",ROUND('Tabla de Amortizacion'!H47,8),IF('CALCULADORA TIPS Pesos E-11'!$F$10="14% (Alto)",ROUND('Tabla de Amortizacion'!K47,8),IF('CALCULADORA TIPS Pesos E-11'!$F$10=20%,ROUND('Tabla de Amortizacion'!N47,8),ROUND('Tabla de Amortizacion'!Q47,8))))))</f>
        <v>0</v>
      </c>
      <c r="C46" s="141">
        <f>IF('CALCULADORA TIPS Pesos E-11'!$F$10="Contractual",ROUND('Tabla de Amortizacion'!C47,8),IF('CALCULADORA TIPS Pesos E-11'!$F$10="6% (Medio)",ROUND('Tabla de Amortizacion'!F47,8),IF('CALCULADORA TIPS Pesos E-11'!$F$10="10% (Medio Alto)",ROUND('Tabla de Amortizacion'!I47,8),IF('CALCULADORA TIPS Pesos E-11'!$F$10="14% (Alto)",ROUND('Tabla de Amortizacion'!L47,8),IF('CALCULADORA TIPS Pesos E-11'!$F$10=20%,ROUND('Tabla de Amortizacion'!O47,8),ROUND('Tabla de Amortizacion'!R47,8))))))</f>
        <v>0.04261362</v>
      </c>
    </row>
    <row r="47" spans="1:3" ht="12.75">
      <c r="A47" s="140">
        <f t="shared" si="1"/>
        <v>41346</v>
      </c>
      <c r="B47" s="141">
        <f>IF('CALCULADORA TIPS Pesos E-11'!$F$10="Contractual",ROUND('Tabla de Amortizacion'!B48,8),IF('CALCULADORA TIPS Pesos E-11'!$F$10="6% (Medio)",ROUND('Tabla de Amortizacion'!E48,8),IF('CALCULADORA TIPS Pesos E-11'!$F$10="10% (Medio Alto)",ROUND('Tabla de Amortizacion'!H48,8),IF('CALCULADORA TIPS Pesos E-11'!$F$10="14% (Alto)",ROUND('Tabla de Amortizacion'!K48,8),IF('CALCULADORA TIPS Pesos E-11'!$F$10=20%,ROUND('Tabla de Amortizacion'!N48,8),ROUND('Tabla de Amortizacion'!Q48,8))))))</f>
        <v>0</v>
      </c>
      <c r="C47" s="141">
        <f>IF('CALCULADORA TIPS Pesos E-11'!$F$10="Contractual",ROUND('Tabla de Amortizacion'!C48,8),IF('CALCULADORA TIPS Pesos E-11'!$F$10="6% (Medio)",ROUND('Tabla de Amortizacion'!F48,8),IF('CALCULADORA TIPS Pesos E-11'!$F$10="10% (Medio Alto)",ROUND('Tabla de Amortizacion'!I48,8),IF('CALCULADORA TIPS Pesos E-11'!$F$10="14% (Alto)",ROUND('Tabla de Amortizacion'!L48,8),IF('CALCULADORA TIPS Pesos E-11'!$F$10=20%,ROUND('Tabla de Amortizacion'!O48,8),ROUND('Tabla de Amortizacion'!R48,8))))))</f>
        <v>0.0384477</v>
      </c>
    </row>
    <row r="48" spans="1:3" ht="12.75">
      <c r="A48" s="140">
        <f t="shared" si="1"/>
        <v>41377</v>
      </c>
      <c r="B48" s="141">
        <f>IF('CALCULADORA TIPS Pesos E-11'!$F$10="Contractual",ROUND('Tabla de Amortizacion'!B49,8),IF('CALCULADORA TIPS Pesos E-11'!$F$10="6% (Medio)",ROUND('Tabla de Amortizacion'!E49,8),IF('CALCULADORA TIPS Pesos E-11'!$F$10="10% (Medio Alto)",ROUND('Tabla de Amortizacion'!H49,8),IF('CALCULADORA TIPS Pesos E-11'!$F$10="14% (Alto)",ROUND('Tabla de Amortizacion'!K49,8),IF('CALCULADORA TIPS Pesos E-11'!$F$10=20%,ROUND('Tabla de Amortizacion'!N49,8),ROUND('Tabla de Amortizacion'!Q49,8))))))</f>
        <v>0</v>
      </c>
      <c r="C48" s="141">
        <f>IF('CALCULADORA TIPS Pesos E-11'!$F$10="Contractual",ROUND('Tabla de Amortizacion'!C49,8),IF('CALCULADORA TIPS Pesos E-11'!$F$10="6% (Medio)",ROUND('Tabla de Amortizacion'!F49,8),IF('CALCULADORA TIPS Pesos E-11'!$F$10="10% (Medio Alto)",ROUND('Tabla de Amortizacion'!I49,8),IF('CALCULADORA TIPS Pesos E-11'!$F$10="14% (Alto)",ROUND('Tabla de Amortizacion'!L49,8),IF('CALCULADORA TIPS Pesos E-11'!$F$10=20%,ROUND('Tabla de Amortizacion'!O49,8),ROUND('Tabla de Amortizacion'!R49,8))))))</f>
        <v>0.03692092</v>
      </c>
    </row>
    <row r="49" spans="1:3" ht="12.75">
      <c r="A49" s="140">
        <f t="shared" si="1"/>
        <v>41407</v>
      </c>
      <c r="B49" s="141">
        <f>IF('CALCULADORA TIPS Pesos E-11'!$F$10="Contractual",ROUND('Tabla de Amortizacion'!B50,8),IF('CALCULADORA TIPS Pesos E-11'!$F$10="6% (Medio)",ROUND('Tabla de Amortizacion'!E50,8),IF('CALCULADORA TIPS Pesos E-11'!$F$10="10% (Medio Alto)",ROUND('Tabla de Amortizacion'!H50,8),IF('CALCULADORA TIPS Pesos E-11'!$F$10="14% (Alto)",ROUND('Tabla de Amortizacion'!K50,8),IF('CALCULADORA TIPS Pesos E-11'!$F$10=20%,ROUND('Tabla de Amortizacion'!N50,8),ROUND('Tabla de Amortizacion'!Q50,8))))))</f>
        <v>0</v>
      </c>
      <c r="C49" s="141">
        <f>IF('CALCULADORA TIPS Pesos E-11'!$F$10="Contractual",ROUND('Tabla de Amortizacion'!C50,8),IF('CALCULADORA TIPS Pesos E-11'!$F$10="6% (Medio)",ROUND('Tabla de Amortizacion'!F50,8),IF('CALCULADORA TIPS Pesos E-11'!$F$10="10% (Medio Alto)",ROUND('Tabla de Amortizacion'!I50,8),IF('CALCULADORA TIPS Pesos E-11'!$F$10="14% (Alto)",ROUND('Tabla de Amortizacion'!L50,8),IF('CALCULADORA TIPS Pesos E-11'!$F$10=20%,ROUND('Tabla de Amortizacion'!O50,8),ROUND('Tabla de Amortizacion'!R50,8))))))</f>
        <v>0.0447699</v>
      </c>
    </row>
    <row r="50" spans="1:3" ht="12.75">
      <c r="A50" s="140">
        <f t="shared" si="1"/>
        <v>41438</v>
      </c>
      <c r="B50" s="141">
        <f>IF('CALCULADORA TIPS Pesos E-11'!$F$10="Contractual",ROUND('Tabla de Amortizacion'!B51,8),IF('CALCULADORA TIPS Pesos E-11'!$F$10="6% (Medio)",ROUND('Tabla de Amortizacion'!E51,8),IF('CALCULADORA TIPS Pesos E-11'!$F$10="10% (Medio Alto)",ROUND('Tabla de Amortizacion'!H51,8),IF('CALCULADORA TIPS Pesos E-11'!$F$10="14% (Alto)",ROUND('Tabla de Amortizacion'!K51,8),IF('CALCULADORA TIPS Pesos E-11'!$F$10=20%,ROUND('Tabla de Amortizacion'!N51,8),ROUND('Tabla de Amortizacion'!Q51,8))))))</f>
        <v>0</v>
      </c>
      <c r="C50" s="141">
        <f>IF('CALCULADORA TIPS Pesos E-11'!$F$10="Contractual",ROUND('Tabla de Amortizacion'!C51,8),IF('CALCULADORA TIPS Pesos E-11'!$F$10="6% (Medio)",ROUND('Tabla de Amortizacion'!F51,8),IF('CALCULADORA TIPS Pesos E-11'!$F$10="10% (Medio Alto)",ROUND('Tabla de Amortizacion'!I51,8),IF('CALCULADORA TIPS Pesos E-11'!$F$10="14% (Alto)",ROUND('Tabla de Amortizacion'!L51,8),IF('CALCULADORA TIPS Pesos E-11'!$F$10=20%,ROUND('Tabla de Amortizacion'!O51,8),ROUND('Tabla de Amortizacion'!R51,8))))))</f>
        <v>0.05392233</v>
      </c>
    </row>
    <row r="51" spans="1:3" ht="12.75">
      <c r="A51" s="140">
        <f t="shared" si="1"/>
        <v>41468</v>
      </c>
      <c r="B51" s="141">
        <f>IF('CALCULADORA TIPS Pesos E-11'!$F$10="Contractual",ROUND('Tabla de Amortizacion'!B52,8),IF('CALCULADORA TIPS Pesos E-11'!$F$10="6% (Medio)",ROUND('Tabla de Amortizacion'!E52,8),IF('CALCULADORA TIPS Pesos E-11'!$F$10="10% (Medio Alto)",ROUND('Tabla de Amortizacion'!H52,8),IF('CALCULADORA TIPS Pesos E-11'!$F$10="14% (Alto)",ROUND('Tabla de Amortizacion'!K52,8),IF('CALCULADORA TIPS Pesos E-11'!$F$10=20%,ROUND('Tabla de Amortizacion'!N52,8),ROUND('Tabla de Amortizacion'!Q52,8))))))</f>
        <v>0</v>
      </c>
      <c r="C51" s="141">
        <f>IF('CALCULADORA TIPS Pesos E-11'!$F$10="Contractual",ROUND('Tabla de Amortizacion'!C52,8),IF('CALCULADORA TIPS Pesos E-11'!$F$10="6% (Medio)",ROUND('Tabla de Amortizacion'!F52,8),IF('CALCULADORA TIPS Pesos E-11'!$F$10="10% (Medio Alto)",ROUND('Tabla de Amortizacion'!I52,8),IF('CALCULADORA TIPS Pesos E-11'!$F$10="14% (Alto)",ROUND('Tabla de Amortizacion'!L52,8),IF('CALCULADORA TIPS Pesos E-11'!$F$10=20%,ROUND('Tabla de Amortizacion'!O52,8),ROUND('Tabla de Amortizacion'!R52,8))))))</f>
        <v>0.04766478</v>
      </c>
    </row>
    <row r="52" spans="1:3" ht="12.75">
      <c r="A52" s="140">
        <f t="shared" si="1"/>
        <v>41499</v>
      </c>
      <c r="B52" s="141">
        <f>IF('CALCULADORA TIPS Pesos E-11'!$F$10="Contractual",ROUND('Tabla de Amortizacion'!B53,8),IF('CALCULADORA TIPS Pesos E-11'!$F$10="6% (Medio)",ROUND('Tabla de Amortizacion'!E53,8),IF('CALCULADORA TIPS Pesos E-11'!$F$10="10% (Medio Alto)",ROUND('Tabla de Amortizacion'!H53,8),IF('CALCULADORA TIPS Pesos E-11'!$F$10="14% (Alto)",ROUND('Tabla de Amortizacion'!K53,8),IF('CALCULADORA TIPS Pesos E-11'!$F$10=20%,ROUND('Tabla de Amortizacion'!N53,8),ROUND('Tabla de Amortizacion'!Q53,8))))))</f>
        <v>0</v>
      </c>
      <c r="C52" s="141">
        <f>IF('CALCULADORA TIPS Pesos E-11'!$F$10="Contractual",ROUND('Tabla de Amortizacion'!C53,8),IF('CALCULADORA TIPS Pesos E-11'!$F$10="6% (Medio)",ROUND('Tabla de Amortizacion'!F53,8),IF('CALCULADORA TIPS Pesos E-11'!$F$10="10% (Medio Alto)",ROUND('Tabla de Amortizacion'!I53,8),IF('CALCULADORA TIPS Pesos E-11'!$F$10="14% (Alto)",ROUND('Tabla de Amortizacion'!L53,8),IF('CALCULADORA TIPS Pesos E-11'!$F$10=20%,ROUND('Tabla de Amortizacion'!O53,8),ROUND('Tabla de Amortizacion'!R53,8))))))</f>
        <v>0.03820753</v>
      </c>
    </row>
    <row r="53" spans="1:3" ht="12.75">
      <c r="A53" s="140">
        <f t="shared" si="1"/>
        <v>41530</v>
      </c>
      <c r="B53" s="141">
        <f>IF('CALCULADORA TIPS Pesos E-11'!$F$10="Contractual",ROUND('Tabla de Amortizacion'!B54,8),IF('CALCULADORA TIPS Pesos E-11'!$F$10="6% (Medio)",ROUND('Tabla de Amortizacion'!E54,8),IF('CALCULADORA TIPS Pesos E-11'!$F$10="10% (Medio Alto)",ROUND('Tabla de Amortizacion'!H54,8),IF('CALCULADORA TIPS Pesos E-11'!$F$10="14% (Alto)",ROUND('Tabla de Amortizacion'!K54,8),IF('CALCULADORA TIPS Pesos E-11'!$F$10=20%,ROUND('Tabla de Amortizacion'!N54,8),ROUND('Tabla de Amortizacion'!Q54,8))))))</f>
        <v>0</v>
      </c>
      <c r="C53" s="141">
        <f>IF('CALCULADORA TIPS Pesos E-11'!$F$10="Contractual",ROUND('Tabla de Amortizacion'!C54,8),IF('CALCULADORA TIPS Pesos E-11'!$F$10="6% (Medio)",ROUND('Tabla de Amortizacion'!F54,8),IF('CALCULADORA TIPS Pesos E-11'!$F$10="10% (Medio Alto)",ROUND('Tabla de Amortizacion'!I54,8),IF('CALCULADORA TIPS Pesos E-11'!$F$10="14% (Alto)",ROUND('Tabla de Amortizacion'!L54,8),IF('CALCULADORA TIPS Pesos E-11'!$F$10=20%,ROUND('Tabla de Amortizacion'!O54,8),ROUND('Tabla de Amortizacion'!R54,8))))))</f>
        <v>0.01482005</v>
      </c>
    </row>
    <row r="54" spans="1:3" ht="12.75">
      <c r="A54" s="140">
        <f t="shared" si="1"/>
        <v>41560</v>
      </c>
      <c r="B54" s="141">
        <f>IF('CALCULADORA TIPS Pesos E-11'!$F$10="Contractual",ROUND('Tabla de Amortizacion'!B55,8),IF('CALCULADORA TIPS Pesos E-11'!$F$10="6% (Medio)",ROUND('Tabla de Amortizacion'!E55,8),IF('CALCULADORA TIPS Pesos E-11'!$F$10="10% (Medio Alto)",ROUND('Tabla de Amortizacion'!H55,8),IF('CALCULADORA TIPS Pesos E-11'!$F$10="14% (Alto)",ROUND('Tabla de Amortizacion'!K55,8),IF('CALCULADORA TIPS Pesos E-11'!$F$10=20%,ROUND('Tabla de Amortizacion'!N55,8),ROUND('Tabla de Amortizacion'!Q55,8))))))</f>
        <v>0</v>
      </c>
      <c r="C54" s="141">
        <f>IF('CALCULADORA TIPS Pesos E-11'!$F$10="Contractual",ROUND('Tabla de Amortizacion'!C55,8),IF('CALCULADORA TIPS Pesos E-11'!$F$10="6% (Medio)",ROUND('Tabla de Amortizacion'!F55,8),IF('CALCULADORA TIPS Pesos E-11'!$F$10="10% (Medio Alto)",ROUND('Tabla de Amortizacion'!I55,8),IF('CALCULADORA TIPS Pesos E-11'!$F$10="14% (Alto)",ROUND('Tabla de Amortizacion'!L55,8),IF('CALCULADORA TIPS Pesos E-11'!$F$10=20%,ROUND('Tabla de Amortizacion'!O55,8),ROUND('Tabla de Amortizacion'!R55,8))))))</f>
        <v>0.01330004</v>
      </c>
    </row>
    <row r="55" spans="1:3" ht="12.75">
      <c r="A55" s="140">
        <f t="shared" si="1"/>
        <v>41591</v>
      </c>
      <c r="B55" s="141">
        <f>IF('CALCULADORA TIPS Pesos E-11'!$F$10="Contractual",ROUND('Tabla de Amortizacion'!B56,8),IF('CALCULADORA TIPS Pesos E-11'!$F$10="6% (Medio)",ROUND('Tabla de Amortizacion'!E56,8),IF('CALCULADORA TIPS Pesos E-11'!$F$10="10% (Medio Alto)",ROUND('Tabla de Amortizacion'!H56,8),IF('CALCULADORA TIPS Pesos E-11'!$F$10="14% (Alto)",ROUND('Tabla de Amortizacion'!K56,8),IF('CALCULADORA TIPS Pesos E-11'!$F$10=20%,ROUND('Tabla de Amortizacion'!N56,8),ROUND('Tabla de Amortizacion'!Q56,8))))))</f>
        <v>0</v>
      </c>
      <c r="C55" s="141">
        <f>IF('CALCULADORA TIPS Pesos E-11'!$F$10="Contractual",ROUND('Tabla de Amortizacion'!C56,8),IF('CALCULADORA TIPS Pesos E-11'!$F$10="6% (Medio)",ROUND('Tabla de Amortizacion'!F56,8),IF('CALCULADORA TIPS Pesos E-11'!$F$10="10% (Medio Alto)",ROUND('Tabla de Amortizacion'!I56,8),IF('CALCULADORA TIPS Pesos E-11'!$F$10="14% (Alto)",ROUND('Tabla de Amortizacion'!L56,8),IF('CALCULADORA TIPS Pesos E-11'!$F$10=20%,ROUND('Tabla de Amortizacion'!O56,8),ROUND('Tabla de Amortizacion'!R56,8))))))</f>
        <v>0</v>
      </c>
    </row>
    <row r="56" spans="1:3" ht="12.75">
      <c r="A56" s="140">
        <f t="shared" si="1"/>
        <v>41621</v>
      </c>
      <c r="B56" s="141">
        <f>IF('CALCULADORA TIPS Pesos E-11'!$F$10="Contractual",ROUND('Tabla de Amortizacion'!B57,8),IF('CALCULADORA TIPS Pesos E-11'!$F$10="6% (Medio)",ROUND('Tabla de Amortizacion'!E57,8),IF('CALCULADORA TIPS Pesos E-11'!$F$10="10% (Medio Alto)",ROUND('Tabla de Amortizacion'!H57,8),IF('CALCULADORA TIPS Pesos E-11'!$F$10="14% (Alto)",ROUND('Tabla de Amortizacion'!K57,8),IF('CALCULADORA TIPS Pesos E-11'!$F$10=20%,ROUND('Tabla de Amortizacion'!N57,8),ROUND('Tabla de Amortizacion'!Q57,8))))))</f>
        <v>0</v>
      </c>
      <c r="C56" s="141">
        <f>IF('CALCULADORA TIPS Pesos E-11'!$F$10="Contractual",ROUND('Tabla de Amortizacion'!C57,8),IF('CALCULADORA TIPS Pesos E-11'!$F$10="6% (Medio)",ROUND('Tabla de Amortizacion'!F57,8),IF('CALCULADORA TIPS Pesos E-11'!$F$10="10% (Medio Alto)",ROUND('Tabla de Amortizacion'!I57,8),IF('CALCULADORA TIPS Pesos E-11'!$F$10="14% (Alto)",ROUND('Tabla de Amortizacion'!L57,8),IF('CALCULADORA TIPS Pesos E-11'!$F$10=20%,ROUND('Tabla de Amortizacion'!O57,8),ROUND('Tabla de Amortizacion'!R57,8))))))</f>
        <v>0</v>
      </c>
    </row>
    <row r="57" spans="1:3" ht="12.75">
      <c r="A57" s="140">
        <f t="shared" si="1"/>
        <v>41652</v>
      </c>
      <c r="B57" s="141">
        <f>IF('CALCULADORA TIPS Pesos E-11'!$F$10="Contractual",ROUND('Tabla de Amortizacion'!B58,8),IF('CALCULADORA TIPS Pesos E-11'!$F$10="6% (Medio)",ROUND('Tabla de Amortizacion'!E58,8),IF('CALCULADORA TIPS Pesos E-11'!$F$10="10% (Medio Alto)",ROUND('Tabla de Amortizacion'!H58,8),IF('CALCULADORA TIPS Pesos E-11'!$F$10="14% (Alto)",ROUND('Tabla de Amortizacion'!K58,8),IF('CALCULADORA TIPS Pesos E-11'!$F$10=20%,ROUND('Tabla de Amortizacion'!N58,8),ROUND('Tabla de Amortizacion'!Q58,8))))))</f>
        <v>0</v>
      </c>
      <c r="C57" s="141">
        <f>IF('CALCULADORA TIPS Pesos E-11'!$F$10="Contractual",ROUND('Tabla de Amortizacion'!C58,8),IF('CALCULADORA TIPS Pesos E-11'!$F$10="6% (Medio)",ROUND('Tabla de Amortizacion'!F58,8),IF('CALCULADORA TIPS Pesos E-11'!$F$10="10% (Medio Alto)",ROUND('Tabla de Amortizacion'!I58,8),IF('CALCULADORA TIPS Pesos E-11'!$F$10="14% (Alto)",ROUND('Tabla de Amortizacion'!L58,8),IF('CALCULADORA TIPS Pesos E-11'!$F$10=20%,ROUND('Tabla de Amortizacion'!O58,8),ROUND('Tabla de Amortizacion'!R58,8))))))</f>
        <v>0</v>
      </c>
    </row>
    <row r="58" spans="1:3" ht="12.75">
      <c r="A58" s="140">
        <f t="shared" si="1"/>
        <v>41683</v>
      </c>
      <c r="B58" s="141">
        <f>IF('CALCULADORA TIPS Pesos E-11'!$F$10="Contractual",ROUND('Tabla de Amortizacion'!B59,8),IF('CALCULADORA TIPS Pesos E-11'!$F$10="6% (Medio)",ROUND('Tabla de Amortizacion'!E59,8),IF('CALCULADORA TIPS Pesos E-11'!$F$10="10% (Medio Alto)",ROUND('Tabla de Amortizacion'!H59,8),IF('CALCULADORA TIPS Pesos E-11'!$F$10="14% (Alto)",ROUND('Tabla de Amortizacion'!K59,8),IF('CALCULADORA TIPS Pesos E-11'!$F$10=20%,ROUND('Tabla de Amortizacion'!N59,8),ROUND('Tabla de Amortizacion'!Q59,8))))))</f>
        <v>0</v>
      </c>
      <c r="C58" s="141">
        <f>IF('CALCULADORA TIPS Pesos E-11'!$F$10="Contractual",ROUND('Tabla de Amortizacion'!C59,8),IF('CALCULADORA TIPS Pesos E-11'!$F$10="6% (Medio)",ROUND('Tabla de Amortizacion'!F59,8),IF('CALCULADORA TIPS Pesos E-11'!$F$10="10% (Medio Alto)",ROUND('Tabla de Amortizacion'!I59,8),IF('CALCULADORA TIPS Pesos E-11'!$F$10="14% (Alto)",ROUND('Tabla de Amortizacion'!L59,8),IF('CALCULADORA TIPS Pesos E-11'!$F$10=20%,ROUND('Tabla de Amortizacion'!O59,8),ROUND('Tabla de Amortizacion'!R59,8))))))</f>
        <v>0</v>
      </c>
    </row>
    <row r="59" spans="1:3" ht="12.75">
      <c r="A59" s="140">
        <f t="shared" si="1"/>
        <v>41711</v>
      </c>
      <c r="B59" s="141">
        <f>IF('CALCULADORA TIPS Pesos E-11'!$F$10="Contractual",ROUND('Tabla de Amortizacion'!B60,8),IF('CALCULADORA TIPS Pesos E-11'!$F$10="6% (Medio)",ROUND('Tabla de Amortizacion'!E60,8),IF('CALCULADORA TIPS Pesos E-11'!$F$10="10% (Medio Alto)",ROUND('Tabla de Amortizacion'!H60,8),IF('CALCULADORA TIPS Pesos E-11'!$F$10="14% (Alto)",ROUND('Tabla de Amortizacion'!K60,8),IF('CALCULADORA TIPS Pesos E-11'!$F$10=20%,ROUND('Tabla de Amortizacion'!N60,8),ROUND('Tabla de Amortizacion'!Q60,8))))))</f>
        <v>0</v>
      </c>
      <c r="C59" s="141">
        <f>IF('CALCULADORA TIPS Pesos E-11'!$F$10="Contractual",ROUND('Tabla de Amortizacion'!C60,8),IF('CALCULADORA TIPS Pesos E-11'!$F$10="6% (Medio)",ROUND('Tabla de Amortizacion'!F60,8),IF('CALCULADORA TIPS Pesos E-11'!$F$10="10% (Medio Alto)",ROUND('Tabla de Amortizacion'!I60,8),IF('CALCULADORA TIPS Pesos E-11'!$F$10="14% (Alto)",ROUND('Tabla de Amortizacion'!L60,8),IF('CALCULADORA TIPS Pesos E-11'!$F$10=20%,ROUND('Tabla de Amortizacion'!O60,8),ROUND('Tabla de Amortizacion'!R60,8))))))</f>
        <v>0</v>
      </c>
    </row>
    <row r="60" spans="1:3" ht="12.75">
      <c r="A60" s="140">
        <f t="shared" si="1"/>
        <v>41742</v>
      </c>
      <c r="B60" s="141">
        <f>IF('CALCULADORA TIPS Pesos E-11'!$F$10="Contractual",ROUND('Tabla de Amortizacion'!B61,8),IF('CALCULADORA TIPS Pesos E-11'!$F$10="6% (Medio)",ROUND('Tabla de Amortizacion'!E61,8),IF('CALCULADORA TIPS Pesos E-11'!$F$10="10% (Medio Alto)",ROUND('Tabla de Amortizacion'!H61,8),IF('CALCULADORA TIPS Pesos E-11'!$F$10="14% (Alto)",ROUND('Tabla de Amortizacion'!K61,8),IF('CALCULADORA TIPS Pesos E-11'!$F$10=20%,ROUND('Tabla de Amortizacion'!N61,8),ROUND('Tabla de Amortizacion'!Q61,8))))))</f>
        <v>0</v>
      </c>
      <c r="C60" s="141">
        <f>IF('CALCULADORA TIPS Pesos E-11'!$F$10="Contractual",ROUND('Tabla de Amortizacion'!C61,8),IF('CALCULADORA TIPS Pesos E-11'!$F$10="6% (Medio)",ROUND('Tabla de Amortizacion'!F61,8),IF('CALCULADORA TIPS Pesos E-11'!$F$10="10% (Medio Alto)",ROUND('Tabla de Amortizacion'!I61,8),IF('CALCULADORA TIPS Pesos E-11'!$F$10="14% (Alto)",ROUND('Tabla de Amortizacion'!L61,8),IF('CALCULADORA TIPS Pesos E-11'!$F$10=20%,ROUND('Tabla de Amortizacion'!O61,8),ROUND('Tabla de Amortizacion'!R61,8))))))</f>
        <v>0</v>
      </c>
    </row>
    <row r="61" spans="1:3" ht="12.75">
      <c r="A61" s="140">
        <f t="shared" si="1"/>
        <v>41772</v>
      </c>
      <c r="B61" s="141">
        <f>IF('CALCULADORA TIPS Pesos E-11'!$F$10="Contractual",ROUND('Tabla de Amortizacion'!B62,8),IF('CALCULADORA TIPS Pesos E-11'!$F$10="6% (Medio)",ROUND('Tabla de Amortizacion'!E62,8),IF('CALCULADORA TIPS Pesos E-11'!$F$10="10% (Medio Alto)",ROUND('Tabla de Amortizacion'!H62,8),IF('CALCULADORA TIPS Pesos E-11'!$F$10="14% (Alto)",ROUND('Tabla de Amortizacion'!K62,8),IF('CALCULADORA TIPS Pesos E-11'!$F$10=20%,ROUND('Tabla de Amortizacion'!N62,8),ROUND('Tabla de Amortizacion'!Q62,8))))))</f>
        <v>0</v>
      </c>
      <c r="C61" s="141">
        <f>IF('CALCULADORA TIPS Pesos E-11'!$F$10="Contractual",ROUND('Tabla de Amortizacion'!C62,8),IF('CALCULADORA TIPS Pesos E-11'!$F$10="6% (Medio)",ROUND('Tabla de Amortizacion'!F62,8),IF('CALCULADORA TIPS Pesos E-11'!$F$10="10% (Medio Alto)",ROUND('Tabla de Amortizacion'!I62,8),IF('CALCULADORA TIPS Pesos E-11'!$F$10="14% (Alto)",ROUND('Tabla de Amortizacion'!L62,8),IF('CALCULADORA TIPS Pesos E-11'!$F$10=20%,ROUND('Tabla de Amortizacion'!O62,8),ROUND('Tabla de Amortizacion'!R62,8))))))</f>
        <v>0</v>
      </c>
    </row>
    <row r="62" spans="1:3" ht="12.75">
      <c r="A62" s="140">
        <f t="shared" si="1"/>
        <v>41803</v>
      </c>
      <c r="B62" s="141">
        <f>IF('CALCULADORA TIPS Pesos E-11'!$F$10="Contractual",ROUND('Tabla de Amortizacion'!B63,8),IF('CALCULADORA TIPS Pesos E-11'!$F$10="6% (Medio)",ROUND('Tabla de Amortizacion'!E63,8),IF('CALCULADORA TIPS Pesos E-11'!$F$10="10% (Medio Alto)",ROUND('Tabla de Amortizacion'!H63,8),IF('CALCULADORA TIPS Pesos E-11'!$F$10="14% (Alto)",ROUND('Tabla de Amortizacion'!K63,8),IF('CALCULADORA TIPS Pesos E-11'!$F$10=20%,ROUND('Tabla de Amortizacion'!N63,8),ROUND('Tabla de Amortizacion'!Q63,8))))))</f>
        <v>0</v>
      </c>
      <c r="C62" s="141">
        <f>IF('CALCULADORA TIPS Pesos E-11'!$F$10="Contractual",ROUND('Tabla de Amortizacion'!C63,8),IF('CALCULADORA TIPS Pesos E-11'!$F$10="6% (Medio)",ROUND('Tabla de Amortizacion'!F63,8),IF('CALCULADORA TIPS Pesos E-11'!$F$10="10% (Medio Alto)",ROUND('Tabla de Amortizacion'!I63,8),IF('CALCULADORA TIPS Pesos E-11'!$F$10="14% (Alto)",ROUND('Tabla de Amortizacion'!L63,8),IF('CALCULADORA TIPS Pesos E-11'!$F$10=20%,ROUND('Tabla de Amortizacion'!O63,8),ROUND('Tabla de Amortizacion'!R63,8))))))</f>
        <v>0</v>
      </c>
    </row>
    <row r="63" spans="1:3" ht="12.75">
      <c r="A63" s="140">
        <f t="shared" si="1"/>
        <v>41833</v>
      </c>
      <c r="B63" s="141">
        <f>IF('CALCULADORA TIPS Pesos E-11'!$F$10="Contractual",ROUND('Tabla de Amortizacion'!B64,8),IF('CALCULADORA TIPS Pesos E-11'!$F$10="6% (Medio)",ROUND('Tabla de Amortizacion'!E64,8),IF('CALCULADORA TIPS Pesos E-11'!$F$10="10% (Medio Alto)",ROUND('Tabla de Amortizacion'!H64,8),IF('CALCULADORA TIPS Pesos E-11'!$F$10="14% (Alto)",ROUND('Tabla de Amortizacion'!K64,8),IF('CALCULADORA TIPS Pesos E-11'!$F$10=20%,ROUND('Tabla de Amortizacion'!N64,8),ROUND('Tabla de Amortizacion'!Q64,8))))))</f>
        <v>0</v>
      </c>
      <c r="C63" s="141">
        <f>IF('CALCULADORA TIPS Pesos E-11'!$F$10="Contractual",ROUND('Tabla de Amortizacion'!C64,8),IF('CALCULADORA TIPS Pesos E-11'!$F$10="6% (Medio)",ROUND('Tabla de Amortizacion'!F64,8),IF('CALCULADORA TIPS Pesos E-11'!$F$10="10% (Medio Alto)",ROUND('Tabla de Amortizacion'!I64,8),IF('CALCULADORA TIPS Pesos E-11'!$F$10="14% (Alto)",ROUND('Tabla de Amortizacion'!L64,8),IF('CALCULADORA TIPS Pesos E-11'!$F$10=20%,ROUND('Tabla de Amortizacion'!O64,8),ROUND('Tabla de Amortizacion'!R64,8))))))</f>
        <v>0</v>
      </c>
    </row>
    <row r="64" spans="1:3" ht="12.75">
      <c r="A64" s="140">
        <f t="shared" si="1"/>
        <v>41864</v>
      </c>
      <c r="B64" s="141">
        <f>IF('CALCULADORA TIPS Pesos E-11'!$F$10="Contractual",ROUND('Tabla de Amortizacion'!B65,8),IF('CALCULADORA TIPS Pesos E-11'!$F$10="6% (Medio)",ROUND('Tabla de Amortizacion'!E65,8),IF('CALCULADORA TIPS Pesos E-11'!$F$10="10% (Medio Alto)",ROUND('Tabla de Amortizacion'!H65,8),IF('CALCULADORA TIPS Pesos E-11'!$F$10="14% (Alto)",ROUND('Tabla de Amortizacion'!K65,8),IF('CALCULADORA TIPS Pesos E-11'!$F$10=20%,ROUND('Tabla de Amortizacion'!N65,8),ROUND('Tabla de Amortizacion'!Q65,8))))))</f>
        <v>0</v>
      </c>
      <c r="C64" s="141">
        <f>IF('CALCULADORA TIPS Pesos E-11'!$F$10="Contractual",ROUND('Tabla de Amortizacion'!C65,8),IF('CALCULADORA TIPS Pesos E-11'!$F$10="6% (Medio)",ROUND('Tabla de Amortizacion'!F65,8),IF('CALCULADORA TIPS Pesos E-11'!$F$10="10% (Medio Alto)",ROUND('Tabla de Amortizacion'!I65,8),IF('CALCULADORA TIPS Pesos E-11'!$F$10="14% (Alto)",ROUND('Tabla de Amortizacion'!L65,8),IF('CALCULADORA TIPS Pesos E-11'!$F$10=20%,ROUND('Tabla de Amortizacion'!O65,8),ROUND('Tabla de Amortizacion'!R65,8))))))</f>
        <v>0</v>
      </c>
    </row>
    <row r="65" spans="1:3" ht="12.75">
      <c r="A65" s="140">
        <f t="shared" si="1"/>
        <v>41895</v>
      </c>
      <c r="B65" s="141">
        <f>IF('CALCULADORA TIPS Pesos E-11'!$F$10="Contractual",ROUND('Tabla de Amortizacion'!B66,8),IF('CALCULADORA TIPS Pesos E-11'!$F$10="6% (Medio)",ROUND('Tabla de Amortizacion'!E66,8),IF('CALCULADORA TIPS Pesos E-11'!$F$10="10% (Medio Alto)",ROUND('Tabla de Amortizacion'!H66,8),IF('CALCULADORA TIPS Pesos E-11'!$F$10="14% (Alto)",ROUND('Tabla de Amortizacion'!K66,8),IF('CALCULADORA TIPS Pesos E-11'!$F$10=20%,ROUND('Tabla de Amortizacion'!N66,8),ROUND('Tabla de Amortizacion'!Q66,8))))))</f>
        <v>0</v>
      </c>
      <c r="C65" s="141">
        <f>IF('CALCULADORA TIPS Pesos E-11'!$F$10="Contractual",ROUND('Tabla de Amortizacion'!C66,8),IF('CALCULADORA TIPS Pesos E-11'!$F$10="6% (Medio)",ROUND('Tabla de Amortizacion'!F66,8),IF('CALCULADORA TIPS Pesos E-11'!$F$10="10% (Medio Alto)",ROUND('Tabla de Amortizacion'!I66,8),IF('CALCULADORA TIPS Pesos E-11'!$F$10="14% (Alto)",ROUND('Tabla de Amortizacion'!L66,8),IF('CALCULADORA TIPS Pesos E-11'!$F$10=20%,ROUND('Tabla de Amortizacion'!O66,8),ROUND('Tabla de Amortizacion'!R66,8))))))</f>
        <v>0</v>
      </c>
    </row>
    <row r="66" spans="1:3" ht="12.75">
      <c r="A66" s="140">
        <f t="shared" si="1"/>
        <v>41925</v>
      </c>
      <c r="B66" s="141">
        <f>IF('CALCULADORA TIPS Pesos E-11'!$F$10="Contractual",ROUND('Tabla de Amortizacion'!B67,8),IF('CALCULADORA TIPS Pesos E-11'!$F$10="6% (Medio)",ROUND('Tabla de Amortizacion'!E67,8),IF('CALCULADORA TIPS Pesos E-11'!$F$10="10% (Medio Alto)",ROUND('Tabla de Amortizacion'!H67,8),IF('CALCULADORA TIPS Pesos E-11'!$F$10="14% (Alto)",ROUND('Tabla de Amortizacion'!K67,8),IF('CALCULADORA TIPS Pesos E-11'!$F$10=20%,ROUND('Tabla de Amortizacion'!N67,8),ROUND('Tabla de Amortizacion'!Q67,8))))))</f>
        <v>0</v>
      </c>
      <c r="C66" s="141">
        <f>IF('CALCULADORA TIPS Pesos E-11'!$F$10="Contractual",ROUND('Tabla de Amortizacion'!C67,8),IF('CALCULADORA TIPS Pesos E-11'!$F$10="6% (Medio)",ROUND('Tabla de Amortizacion'!F67,8),IF('CALCULADORA TIPS Pesos E-11'!$F$10="10% (Medio Alto)",ROUND('Tabla de Amortizacion'!I67,8),IF('CALCULADORA TIPS Pesos E-11'!$F$10="14% (Alto)",ROUND('Tabla de Amortizacion'!L67,8),IF('CALCULADORA TIPS Pesos E-11'!$F$10=20%,ROUND('Tabla de Amortizacion'!O67,8),ROUND('Tabla de Amortizacion'!R67,8))))))</f>
        <v>0</v>
      </c>
    </row>
    <row r="67" spans="1:3" ht="12.75">
      <c r="A67" s="140">
        <f aca="true" t="shared" si="2" ref="A67:A98">_XLL.FECHA.MES(A66,1)</f>
        <v>41956</v>
      </c>
      <c r="B67" s="141">
        <f>IF('CALCULADORA TIPS Pesos E-11'!$F$10="Contractual",ROUND('Tabla de Amortizacion'!B68,8),IF('CALCULADORA TIPS Pesos E-11'!$F$10="6% (Medio)",ROUND('Tabla de Amortizacion'!E68,8),IF('CALCULADORA TIPS Pesos E-11'!$F$10="10% (Medio Alto)",ROUND('Tabla de Amortizacion'!H68,8),IF('CALCULADORA TIPS Pesos E-11'!$F$10="14% (Alto)",ROUND('Tabla de Amortizacion'!K68,8),IF('CALCULADORA TIPS Pesos E-11'!$F$10=20%,ROUND('Tabla de Amortizacion'!N68,8),ROUND('Tabla de Amortizacion'!Q68,8))))))</f>
        <v>0</v>
      </c>
      <c r="C67" s="141">
        <f>IF('CALCULADORA TIPS Pesos E-11'!$F$10="Contractual",ROUND('Tabla de Amortizacion'!C68,8),IF('CALCULADORA TIPS Pesos E-11'!$F$10="6% (Medio)",ROUND('Tabla de Amortizacion'!F68,8),IF('CALCULADORA TIPS Pesos E-11'!$F$10="10% (Medio Alto)",ROUND('Tabla de Amortizacion'!I68,8),IF('CALCULADORA TIPS Pesos E-11'!$F$10="14% (Alto)",ROUND('Tabla de Amortizacion'!L68,8),IF('CALCULADORA TIPS Pesos E-11'!$F$10=20%,ROUND('Tabla de Amortizacion'!O68,8),ROUND('Tabla de Amortizacion'!R68,8))))))</f>
        <v>0</v>
      </c>
    </row>
    <row r="68" spans="1:3" ht="12.75">
      <c r="A68" s="140">
        <f t="shared" si="2"/>
        <v>41986</v>
      </c>
      <c r="B68" s="141">
        <f>IF('CALCULADORA TIPS Pesos E-11'!$F$10="Contractual",ROUND('Tabla de Amortizacion'!B69,8),IF('CALCULADORA TIPS Pesos E-11'!$F$10="6% (Medio)",ROUND('Tabla de Amortizacion'!E69,8),IF('CALCULADORA TIPS Pesos E-11'!$F$10="10% (Medio Alto)",ROUND('Tabla de Amortizacion'!H69,8),IF('CALCULADORA TIPS Pesos E-11'!$F$10="14% (Alto)",ROUND('Tabla de Amortizacion'!K69,8),IF('CALCULADORA TIPS Pesos E-11'!$F$10=20%,ROUND('Tabla de Amortizacion'!N69,8),ROUND('Tabla de Amortizacion'!Q69,8))))))</f>
        <v>0</v>
      </c>
      <c r="C68" s="141">
        <f>IF('CALCULADORA TIPS Pesos E-11'!$F$10="Contractual",ROUND('Tabla de Amortizacion'!C69,8),IF('CALCULADORA TIPS Pesos E-11'!$F$10="6% (Medio)",ROUND('Tabla de Amortizacion'!F69,8),IF('CALCULADORA TIPS Pesos E-11'!$F$10="10% (Medio Alto)",ROUND('Tabla de Amortizacion'!I69,8),IF('CALCULADORA TIPS Pesos E-11'!$F$10="14% (Alto)",ROUND('Tabla de Amortizacion'!L69,8),IF('CALCULADORA TIPS Pesos E-11'!$F$10=20%,ROUND('Tabla de Amortizacion'!O69,8),ROUND('Tabla de Amortizacion'!R69,8))))))</f>
        <v>0</v>
      </c>
    </row>
    <row r="69" spans="1:3" ht="12.75">
      <c r="A69" s="140">
        <f t="shared" si="2"/>
        <v>42017</v>
      </c>
      <c r="B69" s="141">
        <f>IF('CALCULADORA TIPS Pesos E-11'!$F$10="Contractual",ROUND('Tabla de Amortizacion'!B70,8),IF('CALCULADORA TIPS Pesos E-11'!$F$10="6% (Medio)",ROUND('Tabla de Amortizacion'!E70,8),IF('CALCULADORA TIPS Pesos E-11'!$F$10="10% (Medio Alto)",ROUND('Tabla de Amortizacion'!H70,8),IF('CALCULADORA TIPS Pesos E-11'!$F$10="14% (Alto)",ROUND('Tabla de Amortizacion'!K70,8),IF('CALCULADORA TIPS Pesos E-11'!$F$10=20%,ROUND('Tabla de Amortizacion'!N70,8),ROUND('Tabla de Amortizacion'!Q70,8))))))</f>
        <v>0</v>
      </c>
      <c r="C69" s="141">
        <f>IF('CALCULADORA TIPS Pesos E-11'!$F$10="Contractual",ROUND('Tabla de Amortizacion'!C70,8),IF('CALCULADORA TIPS Pesos E-11'!$F$10="6% (Medio)",ROUND('Tabla de Amortizacion'!F70,8),IF('CALCULADORA TIPS Pesos E-11'!$F$10="10% (Medio Alto)",ROUND('Tabla de Amortizacion'!I70,8),IF('CALCULADORA TIPS Pesos E-11'!$F$10="14% (Alto)",ROUND('Tabla de Amortizacion'!L70,8),IF('CALCULADORA TIPS Pesos E-11'!$F$10=20%,ROUND('Tabla de Amortizacion'!O70,8),ROUND('Tabla de Amortizacion'!R70,8))))))</f>
        <v>0</v>
      </c>
    </row>
    <row r="70" spans="1:3" ht="12.75">
      <c r="A70" s="140">
        <f t="shared" si="2"/>
        <v>42048</v>
      </c>
      <c r="B70" s="141">
        <f>IF('CALCULADORA TIPS Pesos E-11'!$F$10="Contractual",ROUND('Tabla de Amortizacion'!B71,8),IF('CALCULADORA TIPS Pesos E-11'!$F$10="6% (Medio)",ROUND('Tabla de Amortizacion'!E71,8),IF('CALCULADORA TIPS Pesos E-11'!$F$10="10% (Medio Alto)",ROUND('Tabla de Amortizacion'!H71,8),IF('CALCULADORA TIPS Pesos E-11'!$F$10="14% (Alto)",ROUND('Tabla de Amortizacion'!K71,8),IF('CALCULADORA TIPS Pesos E-11'!$F$10=20%,ROUND('Tabla de Amortizacion'!N71,8),ROUND('Tabla de Amortizacion'!Q71,8))))))</f>
        <v>0</v>
      </c>
      <c r="C70" s="141">
        <f>IF('CALCULADORA TIPS Pesos E-11'!$F$10="Contractual",ROUND('Tabla de Amortizacion'!C71,8),IF('CALCULADORA TIPS Pesos E-11'!$F$10="6% (Medio)",ROUND('Tabla de Amortizacion'!F71,8),IF('CALCULADORA TIPS Pesos E-11'!$F$10="10% (Medio Alto)",ROUND('Tabla de Amortizacion'!I71,8),IF('CALCULADORA TIPS Pesos E-11'!$F$10="14% (Alto)",ROUND('Tabla de Amortizacion'!L71,8),IF('CALCULADORA TIPS Pesos E-11'!$F$10=20%,ROUND('Tabla de Amortizacion'!O71,8),ROUND('Tabla de Amortizacion'!R71,8))))))</f>
        <v>0</v>
      </c>
    </row>
    <row r="71" spans="1:3" ht="12.75">
      <c r="A71" s="140">
        <f t="shared" si="2"/>
        <v>42076</v>
      </c>
      <c r="B71" s="141">
        <f>IF('CALCULADORA TIPS Pesos E-11'!$F$10="Contractual",ROUND('Tabla de Amortizacion'!B72,8),IF('CALCULADORA TIPS Pesos E-11'!$F$10="6% (Medio)",ROUND('Tabla de Amortizacion'!E72,8),IF('CALCULADORA TIPS Pesos E-11'!$F$10="10% (Medio Alto)",ROUND('Tabla de Amortizacion'!H72,8),IF('CALCULADORA TIPS Pesos E-11'!$F$10="14% (Alto)",ROUND('Tabla de Amortizacion'!K72,8),IF('CALCULADORA TIPS Pesos E-11'!$F$10=20%,ROUND('Tabla de Amortizacion'!N72,8),ROUND('Tabla de Amortizacion'!Q72,8))))))</f>
        <v>0</v>
      </c>
      <c r="C71" s="141">
        <f>IF('CALCULADORA TIPS Pesos E-11'!$F$10="Contractual",ROUND('Tabla de Amortizacion'!C72,8),IF('CALCULADORA TIPS Pesos E-11'!$F$10="6% (Medio)",ROUND('Tabla de Amortizacion'!F72,8),IF('CALCULADORA TIPS Pesos E-11'!$F$10="10% (Medio Alto)",ROUND('Tabla de Amortizacion'!I72,8),IF('CALCULADORA TIPS Pesos E-11'!$F$10="14% (Alto)",ROUND('Tabla de Amortizacion'!L72,8),IF('CALCULADORA TIPS Pesos E-11'!$F$10=20%,ROUND('Tabla de Amortizacion'!O72,8),ROUND('Tabla de Amortizacion'!R72,8))))))</f>
        <v>0</v>
      </c>
    </row>
    <row r="72" spans="1:3" ht="12.75">
      <c r="A72" s="140">
        <f t="shared" si="2"/>
        <v>42107</v>
      </c>
      <c r="B72" s="141">
        <f>IF('CALCULADORA TIPS Pesos E-11'!$F$10="Contractual",ROUND('Tabla de Amortizacion'!B73,8),IF('CALCULADORA TIPS Pesos E-11'!$F$10="6% (Medio)",ROUND('Tabla de Amortizacion'!E73,8),IF('CALCULADORA TIPS Pesos E-11'!$F$10="10% (Medio Alto)",ROUND('Tabla de Amortizacion'!H73,8),IF('CALCULADORA TIPS Pesos E-11'!$F$10="14% (Alto)",ROUND('Tabla de Amortizacion'!K73,8),IF('CALCULADORA TIPS Pesos E-11'!$F$10=20%,ROUND('Tabla de Amortizacion'!N73,8),ROUND('Tabla de Amortizacion'!Q73,8))))))</f>
        <v>0</v>
      </c>
      <c r="C72" s="141">
        <f>IF('CALCULADORA TIPS Pesos E-11'!$F$10="Contractual",ROUND('Tabla de Amortizacion'!C73,8),IF('CALCULADORA TIPS Pesos E-11'!$F$10="6% (Medio)",ROUND('Tabla de Amortizacion'!F73,8),IF('CALCULADORA TIPS Pesos E-11'!$F$10="10% (Medio Alto)",ROUND('Tabla de Amortizacion'!I73,8),IF('CALCULADORA TIPS Pesos E-11'!$F$10="14% (Alto)",ROUND('Tabla de Amortizacion'!L73,8),IF('CALCULADORA TIPS Pesos E-11'!$F$10=20%,ROUND('Tabla de Amortizacion'!O73,8),ROUND('Tabla de Amortizacion'!R73,8))))))</f>
        <v>0</v>
      </c>
    </row>
    <row r="73" spans="1:3" ht="12.75">
      <c r="A73" s="140">
        <f t="shared" si="2"/>
        <v>42137</v>
      </c>
      <c r="B73" s="141">
        <f>IF('CALCULADORA TIPS Pesos E-11'!$F$10="Contractual",ROUND('Tabla de Amortizacion'!B74,8),IF('CALCULADORA TIPS Pesos E-11'!$F$10="6% (Medio)",ROUND('Tabla de Amortizacion'!E74,8),IF('CALCULADORA TIPS Pesos E-11'!$F$10="10% (Medio Alto)",ROUND('Tabla de Amortizacion'!H74,8),IF('CALCULADORA TIPS Pesos E-11'!$F$10="14% (Alto)",ROUND('Tabla de Amortizacion'!K74,8),IF('CALCULADORA TIPS Pesos E-11'!$F$10=20%,ROUND('Tabla de Amortizacion'!N74,8),ROUND('Tabla de Amortizacion'!Q74,8))))))</f>
        <v>0</v>
      </c>
      <c r="C73" s="141">
        <f>IF('CALCULADORA TIPS Pesos E-11'!$F$10="Contractual",ROUND('Tabla de Amortizacion'!C74,8),IF('CALCULADORA TIPS Pesos E-11'!$F$10="6% (Medio)",ROUND('Tabla de Amortizacion'!F74,8),IF('CALCULADORA TIPS Pesos E-11'!$F$10="10% (Medio Alto)",ROUND('Tabla de Amortizacion'!I74,8),IF('CALCULADORA TIPS Pesos E-11'!$F$10="14% (Alto)",ROUND('Tabla de Amortizacion'!L74,8),IF('CALCULADORA TIPS Pesos E-11'!$F$10=20%,ROUND('Tabla de Amortizacion'!O74,8),ROUND('Tabla de Amortizacion'!R74,8))))))</f>
        <v>0</v>
      </c>
    </row>
    <row r="74" spans="1:3" ht="12.75">
      <c r="A74" s="140">
        <f t="shared" si="2"/>
        <v>42168</v>
      </c>
      <c r="B74" s="141">
        <f>IF('CALCULADORA TIPS Pesos E-11'!$F$10="Contractual",ROUND('Tabla de Amortizacion'!B75,8),IF('CALCULADORA TIPS Pesos E-11'!$F$10="6% (Medio)",ROUND('Tabla de Amortizacion'!E75,8),IF('CALCULADORA TIPS Pesos E-11'!$F$10="10% (Medio Alto)",ROUND('Tabla de Amortizacion'!H75,8),IF('CALCULADORA TIPS Pesos E-11'!$F$10="14% (Alto)",ROUND('Tabla de Amortizacion'!K75,8),IF('CALCULADORA TIPS Pesos E-11'!$F$10=20%,ROUND('Tabla de Amortizacion'!N75,8),ROUND('Tabla de Amortizacion'!Q75,8))))))</f>
        <v>0</v>
      </c>
      <c r="C74" s="141">
        <f>IF('CALCULADORA TIPS Pesos E-11'!$F$10="Contractual",ROUND('Tabla de Amortizacion'!C75,8),IF('CALCULADORA TIPS Pesos E-11'!$F$10="6% (Medio)",ROUND('Tabla de Amortizacion'!F75,8),IF('CALCULADORA TIPS Pesos E-11'!$F$10="10% (Medio Alto)",ROUND('Tabla de Amortizacion'!I75,8),IF('CALCULADORA TIPS Pesos E-11'!$F$10="14% (Alto)",ROUND('Tabla de Amortizacion'!L75,8),IF('CALCULADORA TIPS Pesos E-11'!$F$10=20%,ROUND('Tabla de Amortizacion'!O75,8),ROUND('Tabla de Amortizacion'!R75,8))))))</f>
        <v>0</v>
      </c>
    </row>
    <row r="75" spans="1:3" ht="12.75">
      <c r="A75" s="140">
        <f t="shared" si="2"/>
        <v>42198</v>
      </c>
      <c r="B75" s="141">
        <f>IF('CALCULADORA TIPS Pesos E-11'!$F$10="Contractual",ROUND('Tabla de Amortizacion'!B76,8),IF('CALCULADORA TIPS Pesos E-11'!$F$10="6% (Medio)",ROUND('Tabla de Amortizacion'!E76,8),IF('CALCULADORA TIPS Pesos E-11'!$F$10="10% (Medio Alto)",ROUND('Tabla de Amortizacion'!H76,8),IF('CALCULADORA TIPS Pesos E-11'!$F$10="14% (Alto)",ROUND('Tabla de Amortizacion'!K76,8),IF('CALCULADORA TIPS Pesos E-11'!$F$10=20%,ROUND('Tabla de Amortizacion'!N76,8),ROUND('Tabla de Amortizacion'!Q76,8))))))</f>
        <v>0</v>
      </c>
      <c r="C75" s="141">
        <f>IF('CALCULADORA TIPS Pesos E-11'!$F$10="Contractual",ROUND('Tabla de Amortizacion'!C76,8),IF('CALCULADORA TIPS Pesos E-11'!$F$10="6% (Medio)",ROUND('Tabla de Amortizacion'!F76,8),IF('CALCULADORA TIPS Pesos E-11'!$F$10="10% (Medio Alto)",ROUND('Tabla de Amortizacion'!I76,8),IF('CALCULADORA TIPS Pesos E-11'!$F$10="14% (Alto)",ROUND('Tabla de Amortizacion'!L76,8),IF('CALCULADORA TIPS Pesos E-11'!$F$10=20%,ROUND('Tabla de Amortizacion'!O76,8),ROUND('Tabla de Amortizacion'!R76,8))))))</f>
        <v>0</v>
      </c>
    </row>
    <row r="76" spans="1:3" ht="12.75">
      <c r="A76" s="140">
        <f t="shared" si="2"/>
        <v>42229</v>
      </c>
      <c r="B76" s="141">
        <f>IF('CALCULADORA TIPS Pesos E-11'!$F$10="Contractual",ROUND('Tabla de Amortizacion'!B77,8),IF('CALCULADORA TIPS Pesos E-11'!$F$10="6% (Medio)",ROUND('Tabla de Amortizacion'!E77,8),IF('CALCULADORA TIPS Pesos E-11'!$F$10="10% (Medio Alto)",ROUND('Tabla de Amortizacion'!H77,8),IF('CALCULADORA TIPS Pesos E-11'!$F$10="14% (Alto)",ROUND('Tabla de Amortizacion'!K77,8),IF('CALCULADORA TIPS Pesos E-11'!$F$10=20%,ROUND('Tabla de Amortizacion'!N77,8),ROUND('Tabla de Amortizacion'!Q77,8))))))</f>
        <v>0</v>
      </c>
      <c r="C76" s="141">
        <f>IF('CALCULADORA TIPS Pesos E-11'!$F$10="Contractual",ROUND('Tabla de Amortizacion'!C77,8),IF('CALCULADORA TIPS Pesos E-11'!$F$10="6% (Medio)",ROUND('Tabla de Amortizacion'!F77,8),IF('CALCULADORA TIPS Pesos E-11'!$F$10="10% (Medio Alto)",ROUND('Tabla de Amortizacion'!I77,8),IF('CALCULADORA TIPS Pesos E-11'!$F$10="14% (Alto)",ROUND('Tabla de Amortizacion'!L77,8),IF('CALCULADORA TIPS Pesos E-11'!$F$10=20%,ROUND('Tabla de Amortizacion'!O77,8),ROUND('Tabla de Amortizacion'!R77,8))))))</f>
        <v>0</v>
      </c>
    </row>
    <row r="77" spans="1:3" ht="12.75">
      <c r="A77" s="140">
        <f t="shared" si="2"/>
        <v>42260</v>
      </c>
      <c r="B77" s="141">
        <f>IF('CALCULADORA TIPS Pesos E-11'!$F$10="Contractual",ROUND('Tabla de Amortizacion'!B78,8),IF('CALCULADORA TIPS Pesos E-11'!$F$10="6% (Medio)",ROUND('Tabla de Amortizacion'!E78,8),IF('CALCULADORA TIPS Pesos E-11'!$F$10="10% (Medio Alto)",ROUND('Tabla de Amortizacion'!H78,8),IF('CALCULADORA TIPS Pesos E-11'!$F$10="14% (Alto)",ROUND('Tabla de Amortizacion'!K78,8),IF('CALCULADORA TIPS Pesos E-11'!$F$10=20%,ROUND('Tabla de Amortizacion'!N78,8),ROUND('Tabla de Amortizacion'!Q78,8))))))</f>
        <v>0</v>
      </c>
      <c r="C77" s="141">
        <f>IF('CALCULADORA TIPS Pesos E-11'!$F$10="Contractual",ROUND('Tabla de Amortizacion'!C78,8),IF('CALCULADORA TIPS Pesos E-11'!$F$10="6% (Medio)",ROUND('Tabla de Amortizacion'!F78,8),IF('CALCULADORA TIPS Pesos E-11'!$F$10="10% (Medio Alto)",ROUND('Tabla de Amortizacion'!I78,8),IF('CALCULADORA TIPS Pesos E-11'!$F$10="14% (Alto)",ROUND('Tabla de Amortizacion'!L78,8),IF('CALCULADORA TIPS Pesos E-11'!$F$10=20%,ROUND('Tabla de Amortizacion'!O78,8),ROUND('Tabla de Amortizacion'!R78,8))))))</f>
        <v>0</v>
      </c>
    </row>
    <row r="78" spans="1:3" ht="12.75">
      <c r="A78" s="140">
        <f t="shared" si="2"/>
        <v>42290</v>
      </c>
      <c r="B78" s="141">
        <f>IF('CALCULADORA TIPS Pesos E-11'!$F$10="Contractual",ROUND('Tabla de Amortizacion'!B79,8),IF('CALCULADORA TIPS Pesos E-11'!$F$10="6% (Medio)",ROUND('Tabla de Amortizacion'!E79,8),IF('CALCULADORA TIPS Pesos E-11'!$F$10="10% (Medio Alto)",ROUND('Tabla de Amortizacion'!H79,8),IF('CALCULADORA TIPS Pesos E-11'!$F$10="14% (Alto)",ROUND('Tabla de Amortizacion'!K79,8),IF('CALCULADORA TIPS Pesos E-11'!$F$10=20%,ROUND('Tabla de Amortizacion'!N79,8),ROUND('Tabla de Amortizacion'!Q79,8))))))</f>
        <v>0</v>
      </c>
      <c r="C78" s="141">
        <f>IF('CALCULADORA TIPS Pesos E-11'!$F$10="Contractual",ROUND('Tabla de Amortizacion'!C79,8),IF('CALCULADORA TIPS Pesos E-11'!$F$10="6% (Medio)",ROUND('Tabla de Amortizacion'!F79,8),IF('CALCULADORA TIPS Pesos E-11'!$F$10="10% (Medio Alto)",ROUND('Tabla de Amortizacion'!I79,8),IF('CALCULADORA TIPS Pesos E-11'!$F$10="14% (Alto)",ROUND('Tabla de Amortizacion'!L79,8),IF('CALCULADORA TIPS Pesos E-11'!$F$10=20%,ROUND('Tabla de Amortizacion'!O79,8),ROUND('Tabla de Amortizacion'!R79,8))))))</f>
        <v>0</v>
      </c>
    </row>
    <row r="79" spans="1:3" ht="12.75">
      <c r="A79" s="140">
        <f t="shared" si="2"/>
        <v>42321</v>
      </c>
      <c r="B79" s="141">
        <f>IF('CALCULADORA TIPS Pesos E-11'!$F$10="Contractual",ROUND('Tabla de Amortizacion'!B80,8),IF('CALCULADORA TIPS Pesos E-11'!$F$10="6% (Medio)",ROUND('Tabla de Amortizacion'!E80,8),IF('CALCULADORA TIPS Pesos E-11'!$F$10="10% (Medio Alto)",ROUND('Tabla de Amortizacion'!H80,8),IF('CALCULADORA TIPS Pesos E-11'!$F$10="14% (Alto)",ROUND('Tabla de Amortizacion'!K80,8),IF('CALCULADORA TIPS Pesos E-11'!$F$10=20%,ROUND('Tabla de Amortizacion'!N80,8),ROUND('Tabla de Amortizacion'!Q80,8))))))</f>
        <v>0</v>
      </c>
      <c r="C79" s="141">
        <f>IF('CALCULADORA TIPS Pesos E-11'!$F$10="Contractual",ROUND('Tabla de Amortizacion'!C80,8),IF('CALCULADORA TIPS Pesos E-11'!$F$10="6% (Medio)",ROUND('Tabla de Amortizacion'!F80,8),IF('CALCULADORA TIPS Pesos E-11'!$F$10="10% (Medio Alto)",ROUND('Tabla de Amortizacion'!I80,8),IF('CALCULADORA TIPS Pesos E-11'!$F$10="14% (Alto)",ROUND('Tabla de Amortizacion'!L80,8),IF('CALCULADORA TIPS Pesos E-11'!$F$10=20%,ROUND('Tabla de Amortizacion'!O80,8),ROUND('Tabla de Amortizacion'!R80,8))))))</f>
        <v>0</v>
      </c>
    </row>
    <row r="80" spans="1:3" ht="12.75">
      <c r="A80" s="140">
        <f t="shared" si="2"/>
        <v>42351</v>
      </c>
      <c r="B80" s="141">
        <f>IF('CALCULADORA TIPS Pesos E-11'!$F$10="Contractual",ROUND('Tabla de Amortizacion'!B81,8),IF('CALCULADORA TIPS Pesos E-11'!$F$10="6% (Medio)",ROUND('Tabla de Amortizacion'!E81,8),IF('CALCULADORA TIPS Pesos E-11'!$F$10="10% (Medio Alto)",ROUND('Tabla de Amortizacion'!H81,8),IF('CALCULADORA TIPS Pesos E-11'!$F$10="14% (Alto)",ROUND('Tabla de Amortizacion'!K81,8),IF('CALCULADORA TIPS Pesos E-11'!$F$10=20%,ROUND('Tabla de Amortizacion'!N81,8),ROUND('Tabla de Amortizacion'!Q81,8))))))</f>
        <v>0</v>
      </c>
      <c r="C80" s="141">
        <f>IF('CALCULADORA TIPS Pesos E-11'!$F$10="Contractual",ROUND('Tabla de Amortizacion'!C81,8),IF('CALCULADORA TIPS Pesos E-11'!$F$10="6% (Medio)",ROUND('Tabla de Amortizacion'!F81,8),IF('CALCULADORA TIPS Pesos E-11'!$F$10="10% (Medio Alto)",ROUND('Tabla de Amortizacion'!I81,8),IF('CALCULADORA TIPS Pesos E-11'!$F$10="14% (Alto)",ROUND('Tabla de Amortizacion'!L81,8),IF('CALCULADORA TIPS Pesos E-11'!$F$10=20%,ROUND('Tabla de Amortizacion'!O81,8),ROUND('Tabla de Amortizacion'!R81,8))))))</f>
        <v>0</v>
      </c>
    </row>
    <row r="81" spans="1:3" ht="12.75">
      <c r="A81" s="140">
        <f t="shared" si="2"/>
        <v>42382</v>
      </c>
      <c r="B81" s="141">
        <f>IF('CALCULADORA TIPS Pesos E-11'!$F$10="Contractual",ROUND('Tabla de Amortizacion'!B82,8),IF('CALCULADORA TIPS Pesos E-11'!$F$10="6% (Medio)",ROUND('Tabla de Amortizacion'!E82,8),IF('CALCULADORA TIPS Pesos E-11'!$F$10="10% (Medio Alto)",ROUND('Tabla de Amortizacion'!H82,8),IF('CALCULADORA TIPS Pesos E-11'!$F$10="14% (Alto)",ROUND('Tabla de Amortizacion'!K82,8),IF('CALCULADORA TIPS Pesos E-11'!$F$10=20%,ROUND('Tabla de Amortizacion'!N82,8),ROUND('Tabla de Amortizacion'!Q82,8))))))</f>
        <v>0</v>
      </c>
      <c r="C81" s="141">
        <f>IF('CALCULADORA TIPS Pesos E-11'!$F$10="Contractual",ROUND('Tabla de Amortizacion'!C82,8),IF('CALCULADORA TIPS Pesos E-11'!$F$10="6% (Medio)",ROUND('Tabla de Amortizacion'!F82,8),IF('CALCULADORA TIPS Pesos E-11'!$F$10="10% (Medio Alto)",ROUND('Tabla de Amortizacion'!I82,8),IF('CALCULADORA TIPS Pesos E-11'!$F$10="14% (Alto)",ROUND('Tabla de Amortizacion'!L82,8),IF('CALCULADORA TIPS Pesos E-11'!$F$10=20%,ROUND('Tabla de Amortizacion'!O82,8),ROUND('Tabla de Amortizacion'!R82,8))))))</f>
        <v>0</v>
      </c>
    </row>
    <row r="82" spans="1:3" ht="12.75">
      <c r="A82" s="140">
        <f t="shared" si="2"/>
        <v>42413</v>
      </c>
      <c r="B82" s="141">
        <f>IF('CALCULADORA TIPS Pesos E-11'!$F$10="Contractual",ROUND('Tabla de Amortizacion'!B83,8),IF('CALCULADORA TIPS Pesos E-11'!$F$10="6% (Medio)",ROUND('Tabla de Amortizacion'!E83,8),IF('CALCULADORA TIPS Pesos E-11'!$F$10="10% (Medio Alto)",ROUND('Tabla de Amortizacion'!H83,8),IF('CALCULADORA TIPS Pesos E-11'!$F$10="14% (Alto)",ROUND('Tabla de Amortizacion'!K83,8),IF('CALCULADORA TIPS Pesos E-11'!$F$10=20%,ROUND('Tabla de Amortizacion'!N83,8),ROUND('Tabla de Amortizacion'!Q83,8))))))</f>
        <v>0</v>
      </c>
      <c r="C82" s="141">
        <f>IF('CALCULADORA TIPS Pesos E-11'!$F$10="Contractual",ROUND('Tabla de Amortizacion'!C83,8),IF('CALCULADORA TIPS Pesos E-11'!$F$10="6% (Medio)",ROUND('Tabla de Amortizacion'!F83,8),IF('CALCULADORA TIPS Pesos E-11'!$F$10="10% (Medio Alto)",ROUND('Tabla de Amortizacion'!I83,8),IF('CALCULADORA TIPS Pesos E-11'!$F$10="14% (Alto)",ROUND('Tabla de Amortizacion'!L83,8),IF('CALCULADORA TIPS Pesos E-11'!$F$10=20%,ROUND('Tabla de Amortizacion'!O83,8),ROUND('Tabla de Amortizacion'!R83,8))))))</f>
        <v>0</v>
      </c>
    </row>
    <row r="83" spans="1:3" ht="12.75">
      <c r="A83" s="140">
        <f t="shared" si="2"/>
        <v>42442</v>
      </c>
      <c r="B83" s="141">
        <f>IF('CALCULADORA TIPS Pesos E-11'!$F$10="Contractual",ROUND('Tabla de Amortizacion'!B84,8),IF('CALCULADORA TIPS Pesos E-11'!$F$10="6% (Medio)",ROUND('Tabla de Amortizacion'!E84,8),IF('CALCULADORA TIPS Pesos E-11'!$F$10="10% (Medio Alto)",ROUND('Tabla de Amortizacion'!H84,8),IF('CALCULADORA TIPS Pesos E-11'!$F$10="14% (Alto)",ROUND('Tabla de Amortizacion'!K84,8),IF('CALCULADORA TIPS Pesos E-11'!$F$10=20%,ROUND('Tabla de Amortizacion'!N84,8),ROUND('Tabla de Amortizacion'!Q84,8))))))</f>
        <v>0</v>
      </c>
      <c r="C83" s="141">
        <f>IF('CALCULADORA TIPS Pesos E-11'!$F$10="Contractual",ROUND('Tabla de Amortizacion'!C84,8),IF('CALCULADORA TIPS Pesos E-11'!$F$10="6% (Medio)",ROUND('Tabla de Amortizacion'!F84,8),IF('CALCULADORA TIPS Pesos E-11'!$F$10="10% (Medio Alto)",ROUND('Tabla de Amortizacion'!I84,8),IF('CALCULADORA TIPS Pesos E-11'!$F$10="14% (Alto)",ROUND('Tabla de Amortizacion'!L84,8),IF('CALCULADORA TIPS Pesos E-11'!$F$10=20%,ROUND('Tabla de Amortizacion'!O84,8),ROUND('Tabla de Amortizacion'!R84,8))))))</f>
        <v>0</v>
      </c>
    </row>
    <row r="84" spans="1:3" ht="12.75">
      <c r="A84" s="140">
        <f t="shared" si="2"/>
        <v>42473</v>
      </c>
      <c r="B84" s="141">
        <f>IF('CALCULADORA TIPS Pesos E-11'!$F$10="Contractual",ROUND('Tabla de Amortizacion'!B85,8),IF('CALCULADORA TIPS Pesos E-11'!$F$10="6% (Medio)",ROUND('Tabla de Amortizacion'!E85,8),IF('CALCULADORA TIPS Pesos E-11'!$F$10="10% (Medio Alto)",ROUND('Tabla de Amortizacion'!H85,8),IF('CALCULADORA TIPS Pesos E-11'!$F$10="14% (Alto)",ROUND('Tabla de Amortizacion'!K85,8),IF('CALCULADORA TIPS Pesos E-11'!$F$10=20%,ROUND('Tabla de Amortizacion'!N85,8),ROUND('Tabla de Amortizacion'!Q85,8))))))</f>
        <v>0</v>
      </c>
      <c r="C84" s="141">
        <f>IF('CALCULADORA TIPS Pesos E-11'!$F$10="Contractual",ROUND('Tabla de Amortizacion'!C85,8),IF('CALCULADORA TIPS Pesos E-11'!$F$10="6% (Medio)",ROUND('Tabla de Amortizacion'!F85,8),IF('CALCULADORA TIPS Pesos E-11'!$F$10="10% (Medio Alto)",ROUND('Tabla de Amortizacion'!I85,8),IF('CALCULADORA TIPS Pesos E-11'!$F$10="14% (Alto)",ROUND('Tabla de Amortizacion'!L85,8),IF('CALCULADORA TIPS Pesos E-11'!$F$10=20%,ROUND('Tabla de Amortizacion'!O85,8),ROUND('Tabla de Amortizacion'!R85,8))))))</f>
        <v>0</v>
      </c>
    </row>
    <row r="85" spans="1:3" ht="12.75">
      <c r="A85" s="140">
        <f t="shared" si="2"/>
        <v>42503</v>
      </c>
      <c r="B85" s="141">
        <f>IF('CALCULADORA TIPS Pesos E-11'!$F$10="Contractual",ROUND('Tabla de Amortizacion'!B86,8),IF('CALCULADORA TIPS Pesos E-11'!$F$10="6% (Medio)",ROUND('Tabla de Amortizacion'!E86,8),IF('CALCULADORA TIPS Pesos E-11'!$F$10="10% (Medio Alto)",ROUND('Tabla de Amortizacion'!H86,8),IF('CALCULADORA TIPS Pesos E-11'!$F$10="14% (Alto)",ROUND('Tabla de Amortizacion'!K86,8),IF('CALCULADORA TIPS Pesos E-11'!$F$10=20%,ROUND('Tabla de Amortizacion'!N86,8),ROUND('Tabla de Amortizacion'!Q86,8))))))</f>
        <v>0</v>
      </c>
      <c r="C85" s="141">
        <f>IF('CALCULADORA TIPS Pesos E-11'!$F$10="Contractual",ROUND('Tabla de Amortizacion'!C86,8),IF('CALCULADORA TIPS Pesos E-11'!$F$10="6% (Medio)",ROUND('Tabla de Amortizacion'!F86,8),IF('CALCULADORA TIPS Pesos E-11'!$F$10="10% (Medio Alto)",ROUND('Tabla de Amortizacion'!I86,8),IF('CALCULADORA TIPS Pesos E-11'!$F$10="14% (Alto)",ROUND('Tabla de Amortizacion'!L86,8),IF('CALCULADORA TIPS Pesos E-11'!$F$10=20%,ROUND('Tabla de Amortizacion'!O86,8),ROUND('Tabla de Amortizacion'!R86,8))))))</f>
        <v>0</v>
      </c>
    </row>
    <row r="86" spans="1:3" ht="12.75">
      <c r="A86" s="140">
        <f t="shared" si="2"/>
        <v>42534</v>
      </c>
      <c r="B86" s="141">
        <f>IF('CALCULADORA TIPS Pesos E-11'!$F$10="Contractual",ROUND('Tabla de Amortizacion'!B87,8),IF('CALCULADORA TIPS Pesos E-11'!$F$10="6% (Medio)",ROUND('Tabla de Amortizacion'!E87,8),IF('CALCULADORA TIPS Pesos E-11'!$F$10="10% (Medio Alto)",ROUND('Tabla de Amortizacion'!H87,8),IF('CALCULADORA TIPS Pesos E-11'!$F$10="14% (Alto)",ROUND('Tabla de Amortizacion'!K87,8),IF('CALCULADORA TIPS Pesos E-11'!$F$10=20%,ROUND('Tabla de Amortizacion'!N87,8),ROUND('Tabla de Amortizacion'!Q87,8))))))</f>
        <v>0</v>
      </c>
      <c r="C86" s="141">
        <f>IF('CALCULADORA TIPS Pesos E-11'!$F$10="Contractual",ROUND('Tabla de Amortizacion'!C87,8),IF('CALCULADORA TIPS Pesos E-11'!$F$10="6% (Medio)",ROUND('Tabla de Amortizacion'!F87,8),IF('CALCULADORA TIPS Pesos E-11'!$F$10="10% (Medio Alto)",ROUND('Tabla de Amortizacion'!I87,8),IF('CALCULADORA TIPS Pesos E-11'!$F$10="14% (Alto)",ROUND('Tabla de Amortizacion'!L87,8),IF('CALCULADORA TIPS Pesos E-11'!$F$10=20%,ROUND('Tabla de Amortizacion'!O87,8),ROUND('Tabla de Amortizacion'!R87,8))))))</f>
        <v>0</v>
      </c>
    </row>
    <row r="87" spans="1:3" ht="12.75">
      <c r="A87" s="140">
        <f t="shared" si="2"/>
        <v>42564</v>
      </c>
      <c r="B87" s="141">
        <f>IF('CALCULADORA TIPS Pesos E-11'!$F$10="Contractual",ROUND('Tabla de Amortizacion'!B88,8),IF('CALCULADORA TIPS Pesos E-11'!$F$10="6% (Medio)",ROUND('Tabla de Amortizacion'!E88,8),IF('CALCULADORA TIPS Pesos E-11'!$F$10="10% (Medio Alto)",ROUND('Tabla de Amortizacion'!H88,8),IF('CALCULADORA TIPS Pesos E-11'!$F$10="14% (Alto)",ROUND('Tabla de Amortizacion'!K88,8),IF('CALCULADORA TIPS Pesos E-11'!$F$10=20%,ROUND('Tabla de Amortizacion'!N88,8),ROUND('Tabla de Amortizacion'!Q88,8))))))</f>
        <v>0</v>
      </c>
      <c r="C87" s="141">
        <f>IF('CALCULADORA TIPS Pesos E-11'!$F$10="Contractual",ROUND('Tabla de Amortizacion'!C88,8),IF('CALCULADORA TIPS Pesos E-11'!$F$10="6% (Medio)",ROUND('Tabla de Amortizacion'!F88,8),IF('CALCULADORA TIPS Pesos E-11'!$F$10="10% (Medio Alto)",ROUND('Tabla de Amortizacion'!I88,8),IF('CALCULADORA TIPS Pesos E-11'!$F$10="14% (Alto)",ROUND('Tabla de Amortizacion'!L88,8),IF('CALCULADORA TIPS Pesos E-11'!$F$10=20%,ROUND('Tabla de Amortizacion'!O88,8),ROUND('Tabla de Amortizacion'!R88,8))))))</f>
        <v>0</v>
      </c>
    </row>
    <row r="88" spans="1:3" ht="12.75">
      <c r="A88" s="140">
        <f t="shared" si="2"/>
        <v>42595</v>
      </c>
      <c r="B88" s="141">
        <f>IF('CALCULADORA TIPS Pesos E-11'!$F$10="Contractual",ROUND('Tabla de Amortizacion'!B89,8),IF('CALCULADORA TIPS Pesos E-11'!$F$10="6% (Medio)",ROUND('Tabla de Amortizacion'!E89,8),IF('CALCULADORA TIPS Pesos E-11'!$F$10="10% (Medio Alto)",ROUND('Tabla de Amortizacion'!H89,8),IF('CALCULADORA TIPS Pesos E-11'!$F$10="14% (Alto)",ROUND('Tabla de Amortizacion'!K89,8),IF('CALCULADORA TIPS Pesos E-11'!$F$10=20%,ROUND('Tabla de Amortizacion'!N89,8),ROUND('Tabla de Amortizacion'!Q89,8))))))</f>
        <v>0</v>
      </c>
      <c r="C88" s="141">
        <f>IF('CALCULADORA TIPS Pesos E-11'!$F$10="Contractual",ROUND('Tabla de Amortizacion'!C89,8),IF('CALCULADORA TIPS Pesos E-11'!$F$10="6% (Medio)",ROUND('Tabla de Amortizacion'!F89,8),IF('CALCULADORA TIPS Pesos E-11'!$F$10="10% (Medio Alto)",ROUND('Tabla de Amortizacion'!I89,8),IF('CALCULADORA TIPS Pesos E-11'!$F$10="14% (Alto)",ROUND('Tabla de Amortizacion'!L89,8),IF('CALCULADORA TIPS Pesos E-11'!$F$10=20%,ROUND('Tabla de Amortizacion'!O89,8),ROUND('Tabla de Amortizacion'!R89,8))))))</f>
        <v>0</v>
      </c>
    </row>
    <row r="89" spans="1:3" ht="12.75">
      <c r="A89" s="140">
        <f t="shared" si="2"/>
        <v>42626</v>
      </c>
      <c r="B89" s="141">
        <f>IF('CALCULADORA TIPS Pesos E-11'!$F$10="Contractual",ROUND('Tabla de Amortizacion'!B90,8),IF('CALCULADORA TIPS Pesos E-11'!$F$10="6% (Medio)",ROUND('Tabla de Amortizacion'!E90,8),IF('CALCULADORA TIPS Pesos E-11'!$F$10="10% (Medio Alto)",ROUND('Tabla de Amortizacion'!H90,8),IF('CALCULADORA TIPS Pesos E-11'!$F$10="14% (Alto)",ROUND('Tabla de Amortizacion'!K90,8),IF('CALCULADORA TIPS Pesos E-11'!$F$10=20%,ROUND('Tabla de Amortizacion'!N90,8),ROUND('Tabla de Amortizacion'!Q90,8))))))</f>
        <v>0</v>
      </c>
      <c r="C89" s="141">
        <f>IF('CALCULADORA TIPS Pesos E-11'!$F$10="Contractual",ROUND('Tabla de Amortizacion'!C90,8),IF('CALCULADORA TIPS Pesos E-11'!$F$10="6% (Medio)",ROUND('Tabla de Amortizacion'!F90,8),IF('CALCULADORA TIPS Pesos E-11'!$F$10="10% (Medio Alto)",ROUND('Tabla de Amortizacion'!I90,8),IF('CALCULADORA TIPS Pesos E-11'!$F$10="14% (Alto)",ROUND('Tabla de Amortizacion'!L90,8),IF('CALCULADORA TIPS Pesos E-11'!$F$10=20%,ROUND('Tabla de Amortizacion'!O90,8),ROUND('Tabla de Amortizacion'!R90,8))))))</f>
        <v>0</v>
      </c>
    </row>
    <row r="90" spans="1:3" ht="12.75">
      <c r="A90" s="140">
        <f t="shared" si="2"/>
        <v>42656</v>
      </c>
      <c r="B90" s="141">
        <f>IF('CALCULADORA TIPS Pesos E-11'!$F$10="Contractual",ROUND('Tabla de Amortizacion'!B91,8),IF('CALCULADORA TIPS Pesos E-11'!$F$10="6% (Medio)",ROUND('Tabla de Amortizacion'!E91,8),IF('CALCULADORA TIPS Pesos E-11'!$F$10="10% (Medio Alto)",ROUND('Tabla de Amortizacion'!H91,8),IF('CALCULADORA TIPS Pesos E-11'!$F$10="14% (Alto)",ROUND('Tabla de Amortizacion'!K91,8),IF('CALCULADORA TIPS Pesos E-11'!$F$10=20%,ROUND('Tabla de Amortizacion'!N91,8),ROUND('Tabla de Amortizacion'!Q91,8))))))</f>
        <v>0</v>
      </c>
      <c r="C90" s="141">
        <f>IF('CALCULADORA TIPS Pesos E-11'!$F$10="Contractual",ROUND('Tabla de Amortizacion'!C91,8),IF('CALCULADORA TIPS Pesos E-11'!$F$10="6% (Medio)",ROUND('Tabla de Amortizacion'!F91,8),IF('CALCULADORA TIPS Pesos E-11'!$F$10="10% (Medio Alto)",ROUND('Tabla de Amortizacion'!I91,8),IF('CALCULADORA TIPS Pesos E-11'!$F$10="14% (Alto)",ROUND('Tabla de Amortizacion'!L91,8),IF('CALCULADORA TIPS Pesos E-11'!$F$10=20%,ROUND('Tabla de Amortizacion'!O91,8),ROUND('Tabla de Amortizacion'!R91,8))))))</f>
        <v>0</v>
      </c>
    </row>
    <row r="91" spans="1:3" ht="12.75">
      <c r="A91" s="140">
        <f t="shared" si="2"/>
        <v>42687</v>
      </c>
      <c r="B91" s="141">
        <f>IF('CALCULADORA TIPS Pesos E-11'!$F$10="Contractual",ROUND('Tabla de Amortizacion'!B92,8),IF('CALCULADORA TIPS Pesos E-11'!$F$10="6% (Medio)",ROUND('Tabla de Amortizacion'!E92,8),IF('CALCULADORA TIPS Pesos E-11'!$F$10="10% (Medio Alto)",ROUND('Tabla de Amortizacion'!H92,8),IF('CALCULADORA TIPS Pesos E-11'!$F$10="14% (Alto)",ROUND('Tabla de Amortizacion'!K92,8),IF('CALCULADORA TIPS Pesos E-11'!$F$10=20%,ROUND('Tabla de Amortizacion'!N92,8),ROUND('Tabla de Amortizacion'!Q92,8))))))</f>
        <v>0</v>
      </c>
      <c r="C91" s="141">
        <f>IF('CALCULADORA TIPS Pesos E-11'!$F$10="Contractual",ROUND('Tabla de Amortizacion'!C92,8),IF('CALCULADORA TIPS Pesos E-11'!$F$10="6% (Medio)",ROUND('Tabla de Amortizacion'!F92,8),IF('CALCULADORA TIPS Pesos E-11'!$F$10="10% (Medio Alto)",ROUND('Tabla de Amortizacion'!I92,8),IF('CALCULADORA TIPS Pesos E-11'!$F$10="14% (Alto)",ROUND('Tabla de Amortizacion'!L92,8),IF('CALCULADORA TIPS Pesos E-11'!$F$10=20%,ROUND('Tabla de Amortizacion'!O92,8),ROUND('Tabla de Amortizacion'!R92,8))))))</f>
        <v>0</v>
      </c>
    </row>
    <row r="92" spans="1:3" ht="12.75">
      <c r="A92" s="140">
        <f t="shared" si="2"/>
        <v>42717</v>
      </c>
      <c r="B92" s="141">
        <f>IF('CALCULADORA TIPS Pesos E-11'!$F$10="Contractual",ROUND('Tabla de Amortizacion'!B93,8),IF('CALCULADORA TIPS Pesos E-11'!$F$10="6% (Medio)",ROUND('Tabla de Amortizacion'!E93,8),IF('CALCULADORA TIPS Pesos E-11'!$F$10="10% (Medio Alto)",ROUND('Tabla de Amortizacion'!H93,8),IF('CALCULADORA TIPS Pesos E-11'!$F$10="14% (Alto)",ROUND('Tabla de Amortizacion'!K93,8),IF('CALCULADORA TIPS Pesos E-11'!$F$10=20%,ROUND('Tabla de Amortizacion'!N93,8),ROUND('Tabla de Amortizacion'!Q93,8))))))</f>
        <v>0</v>
      </c>
      <c r="C92" s="141">
        <f>IF('CALCULADORA TIPS Pesos E-11'!$F$10="Contractual",ROUND('Tabla de Amortizacion'!C93,8),IF('CALCULADORA TIPS Pesos E-11'!$F$10="6% (Medio)",ROUND('Tabla de Amortizacion'!F93,8),IF('CALCULADORA TIPS Pesos E-11'!$F$10="10% (Medio Alto)",ROUND('Tabla de Amortizacion'!I93,8),IF('CALCULADORA TIPS Pesos E-11'!$F$10="14% (Alto)",ROUND('Tabla de Amortizacion'!L93,8),IF('CALCULADORA TIPS Pesos E-11'!$F$10=20%,ROUND('Tabla de Amortizacion'!O93,8),ROUND('Tabla de Amortizacion'!R93,8))))))</f>
        <v>0</v>
      </c>
    </row>
    <row r="93" spans="1:3" ht="12.75">
      <c r="A93" s="140">
        <f t="shared" si="2"/>
        <v>42748</v>
      </c>
      <c r="B93" s="141">
        <f>IF('CALCULADORA TIPS Pesos E-11'!$F$10="Contractual",ROUND('Tabla de Amortizacion'!B94,8),IF('CALCULADORA TIPS Pesos E-11'!$F$10="6% (Medio)",ROUND('Tabla de Amortizacion'!E94,8),IF('CALCULADORA TIPS Pesos E-11'!$F$10="10% (Medio Alto)",ROUND('Tabla de Amortizacion'!H94,8),IF('CALCULADORA TIPS Pesos E-11'!$F$10="14% (Alto)",ROUND('Tabla de Amortizacion'!K94,8),IF('CALCULADORA TIPS Pesos E-11'!$F$10=20%,ROUND('Tabla de Amortizacion'!N94,8),ROUND('Tabla de Amortizacion'!Q94,8))))))</f>
        <v>0</v>
      </c>
      <c r="C93" s="141">
        <f>IF('CALCULADORA TIPS Pesos E-11'!$F$10="Contractual",ROUND('Tabla de Amortizacion'!C94,8),IF('CALCULADORA TIPS Pesos E-11'!$F$10="6% (Medio)",ROUND('Tabla de Amortizacion'!F94,8),IF('CALCULADORA TIPS Pesos E-11'!$F$10="10% (Medio Alto)",ROUND('Tabla de Amortizacion'!I94,8),IF('CALCULADORA TIPS Pesos E-11'!$F$10="14% (Alto)",ROUND('Tabla de Amortizacion'!L94,8),IF('CALCULADORA TIPS Pesos E-11'!$F$10=20%,ROUND('Tabla de Amortizacion'!O94,8),ROUND('Tabla de Amortizacion'!R94,8))))))</f>
        <v>0</v>
      </c>
    </row>
    <row r="94" spans="1:3" ht="12.75">
      <c r="A94" s="140">
        <f t="shared" si="2"/>
        <v>42779</v>
      </c>
      <c r="B94" s="141">
        <f>IF('CALCULADORA TIPS Pesos E-11'!$F$10="Contractual",ROUND('Tabla de Amortizacion'!B95,8),IF('CALCULADORA TIPS Pesos E-11'!$F$10="6% (Medio)",ROUND('Tabla de Amortizacion'!E95,8),IF('CALCULADORA TIPS Pesos E-11'!$F$10="10% (Medio Alto)",ROUND('Tabla de Amortizacion'!H95,8),IF('CALCULADORA TIPS Pesos E-11'!$F$10="14% (Alto)",ROUND('Tabla de Amortizacion'!K95,8),IF('CALCULADORA TIPS Pesos E-11'!$F$10=20%,ROUND('Tabla de Amortizacion'!N95,8),ROUND('Tabla de Amortizacion'!Q95,8))))))</f>
        <v>0</v>
      </c>
      <c r="C94" s="141">
        <f>IF('CALCULADORA TIPS Pesos E-11'!$F$10="Contractual",ROUND('Tabla de Amortizacion'!C95,8),IF('CALCULADORA TIPS Pesos E-11'!$F$10="6% (Medio)",ROUND('Tabla de Amortizacion'!F95,8),IF('CALCULADORA TIPS Pesos E-11'!$F$10="10% (Medio Alto)",ROUND('Tabla de Amortizacion'!I95,8),IF('CALCULADORA TIPS Pesos E-11'!$F$10="14% (Alto)",ROUND('Tabla de Amortizacion'!L95,8),IF('CALCULADORA TIPS Pesos E-11'!$F$10=20%,ROUND('Tabla de Amortizacion'!O95,8),ROUND('Tabla de Amortizacion'!R95,8))))))</f>
        <v>0</v>
      </c>
    </row>
    <row r="95" spans="1:3" ht="12.75">
      <c r="A95" s="140">
        <f t="shared" si="2"/>
        <v>42807</v>
      </c>
      <c r="B95" s="141">
        <f>IF('CALCULADORA TIPS Pesos E-11'!$F$10="Contractual",ROUND('Tabla de Amortizacion'!B96,8),IF('CALCULADORA TIPS Pesos E-11'!$F$10="6% (Medio)",ROUND('Tabla de Amortizacion'!E96,8),IF('CALCULADORA TIPS Pesos E-11'!$F$10="10% (Medio Alto)",ROUND('Tabla de Amortizacion'!H96,8),IF('CALCULADORA TIPS Pesos E-11'!$F$10="14% (Alto)",ROUND('Tabla de Amortizacion'!K96,8),IF('CALCULADORA TIPS Pesos E-11'!$F$10=20%,ROUND('Tabla de Amortizacion'!N96,8),ROUND('Tabla de Amortizacion'!Q96,8))))))</f>
        <v>0</v>
      </c>
      <c r="C95" s="141">
        <f>IF('CALCULADORA TIPS Pesos E-11'!$F$10="Contractual",ROUND('Tabla de Amortizacion'!C96,8),IF('CALCULADORA TIPS Pesos E-11'!$F$10="6% (Medio)",ROUND('Tabla de Amortizacion'!F96,8),IF('CALCULADORA TIPS Pesos E-11'!$F$10="10% (Medio Alto)",ROUND('Tabla de Amortizacion'!I96,8),IF('CALCULADORA TIPS Pesos E-11'!$F$10="14% (Alto)",ROUND('Tabla de Amortizacion'!L96,8),IF('CALCULADORA TIPS Pesos E-11'!$F$10=20%,ROUND('Tabla de Amortizacion'!O96,8),ROUND('Tabla de Amortizacion'!R96,8))))))</f>
        <v>0</v>
      </c>
    </row>
    <row r="96" spans="1:3" ht="12.75">
      <c r="A96" s="140">
        <f t="shared" si="2"/>
        <v>42838</v>
      </c>
      <c r="B96" s="141">
        <f>IF('CALCULADORA TIPS Pesos E-11'!$F$10="Contractual",ROUND('Tabla de Amortizacion'!B97,8),IF('CALCULADORA TIPS Pesos E-11'!$F$10="6% (Medio)",ROUND('Tabla de Amortizacion'!E97,8),IF('CALCULADORA TIPS Pesos E-11'!$F$10="10% (Medio Alto)",ROUND('Tabla de Amortizacion'!H97,8),IF('CALCULADORA TIPS Pesos E-11'!$F$10="14% (Alto)",ROUND('Tabla de Amortizacion'!K97,8),IF('CALCULADORA TIPS Pesos E-11'!$F$10=20%,ROUND('Tabla de Amortizacion'!N97,8),ROUND('Tabla de Amortizacion'!Q97,8))))))</f>
        <v>0</v>
      </c>
      <c r="C96" s="141">
        <f>IF('CALCULADORA TIPS Pesos E-11'!$F$10="Contractual",ROUND('Tabla de Amortizacion'!C97,8),IF('CALCULADORA TIPS Pesos E-11'!$F$10="6% (Medio)",ROUND('Tabla de Amortizacion'!F97,8),IF('CALCULADORA TIPS Pesos E-11'!$F$10="10% (Medio Alto)",ROUND('Tabla de Amortizacion'!I97,8),IF('CALCULADORA TIPS Pesos E-11'!$F$10="14% (Alto)",ROUND('Tabla de Amortizacion'!L97,8),IF('CALCULADORA TIPS Pesos E-11'!$F$10=20%,ROUND('Tabla de Amortizacion'!O97,8),ROUND('Tabla de Amortizacion'!R97,8))))))</f>
        <v>0</v>
      </c>
    </row>
    <row r="97" spans="1:3" ht="12.75">
      <c r="A97" s="140">
        <f t="shared" si="2"/>
        <v>42868</v>
      </c>
      <c r="B97" s="141">
        <f>IF('CALCULADORA TIPS Pesos E-11'!$F$10="Contractual",ROUND('Tabla de Amortizacion'!B98,8),IF('CALCULADORA TIPS Pesos E-11'!$F$10="6% (Medio)",ROUND('Tabla de Amortizacion'!E98,8),IF('CALCULADORA TIPS Pesos E-11'!$F$10="10% (Medio Alto)",ROUND('Tabla de Amortizacion'!H98,8),IF('CALCULADORA TIPS Pesos E-11'!$F$10="14% (Alto)",ROUND('Tabla de Amortizacion'!K98,8),IF('CALCULADORA TIPS Pesos E-11'!$F$10=20%,ROUND('Tabla de Amortizacion'!N98,8),ROUND('Tabla de Amortizacion'!Q98,8))))))</f>
        <v>0</v>
      </c>
      <c r="C97" s="141">
        <f>IF('CALCULADORA TIPS Pesos E-11'!$F$10="Contractual",ROUND('Tabla de Amortizacion'!C98,8),IF('CALCULADORA TIPS Pesos E-11'!$F$10="6% (Medio)",ROUND('Tabla de Amortizacion'!F98,8),IF('CALCULADORA TIPS Pesos E-11'!$F$10="10% (Medio Alto)",ROUND('Tabla de Amortizacion'!I98,8),IF('CALCULADORA TIPS Pesos E-11'!$F$10="14% (Alto)",ROUND('Tabla de Amortizacion'!L98,8),IF('CALCULADORA TIPS Pesos E-11'!$F$10=20%,ROUND('Tabla de Amortizacion'!O98,8),ROUND('Tabla de Amortizacion'!R98,8))))))</f>
        <v>0</v>
      </c>
    </row>
    <row r="98" spans="1:3" ht="12.75">
      <c r="A98" s="140">
        <f t="shared" si="2"/>
        <v>42899</v>
      </c>
      <c r="B98" s="141">
        <f>IF('CALCULADORA TIPS Pesos E-11'!$F$10="Contractual",ROUND('Tabla de Amortizacion'!B99,8),IF('CALCULADORA TIPS Pesos E-11'!$F$10="6% (Medio)",ROUND('Tabla de Amortizacion'!E99,8),IF('CALCULADORA TIPS Pesos E-11'!$F$10="10% (Medio Alto)",ROUND('Tabla de Amortizacion'!H99,8),IF('CALCULADORA TIPS Pesos E-11'!$F$10="14% (Alto)",ROUND('Tabla de Amortizacion'!K99,8),IF('CALCULADORA TIPS Pesos E-11'!$F$10=20%,ROUND('Tabla de Amortizacion'!N99,8),ROUND('Tabla de Amortizacion'!Q99,8))))))</f>
        <v>0</v>
      </c>
      <c r="C98" s="141">
        <f>IF('CALCULADORA TIPS Pesos E-11'!$F$10="Contractual",ROUND('Tabla de Amortizacion'!C99,8),IF('CALCULADORA TIPS Pesos E-11'!$F$10="6% (Medio)",ROUND('Tabla de Amortizacion'!F99,8),IF('CALCULADORA TIPS Pesos E-11'!$F$10="10% (Medio Alto)",ROUND('Tabla de Amortizacion'!I99,8),IF('CALCULADORA TIPS Pesos E-11'!$F$10="14% (Alto)",ROUND('Tabla de Amortizacion'!L99,8),IF('CALCULADORA TIPS Pesos E-11'!$F$10=20%,ROUND('Tabla de Amortizacion'!O99,8),ROUND('Tabla de Amortizacion'!R99,8))))))</f>
        <v>0</v>
      </c>
    </row>
    <row r="99" spans="1:3" ht="12.75">
      <c r="A99" s="140">
        <f aca="true" t="shared" si="3" ref="A99:A130">_XLL.FECHA.MES(A98,1)</f>
        <v>42929</v>
      </c>
      <c r="B99" s="141">
        <f>IF('CALCULADORA TIPS Pesos E-11'!$F$10="Contractual",ROUND('Tabla de Amortizacion'!B100,8),IF('CALCULADORA TIPS Pesos E-11'!$F$10="6% (Medio)",ROUND('Tabla de Amortizacion'!E100,8),IF('CALCULADORA TIPS Pesos E-11'!$F$10="10% (Medio Alto)",ROUND('Tabla de Amortizacion'!H100,8),IF('CALCULADORA TIPS Pesos E-11'!$F$10="14% (Alto)",ROUND('Tabla de Amortizacion'!K100,8),IF('CALCULADORA TIPS Pesos E-11'!$F$10=20%,ROUND('Tabla de Amortizacion'!N100,8),ROUND('Tabla de Amortizacion'!Q100,8))))))</f>
        <v>0</v>
      </c>
      <c r="C99" s="141">
        <f>IF('CALCULADORA TIPS Pesos E-11'!$F$10="Contractual",ROUND('Tabla de Amortizacion'!C100,8),IF('CALCULADORA TIPS Pesos E-11'!$F$10="6% (Medio)",ROUND('Tabla de Amortizacion'!F100,8),IF('CALCULADORA TIPS Pesos E-11'!$F$10="10% (Medio Alto)",ROUND('Tabla de Amortizacion'!I100,8),IF('CALCULADORA TIPS Pesos E-11'!$F$10="14% (Alto)",ROUND('Tabla de Amortizacion'!L100,8),IF('CALCULADORA TIPS Pesos E-11'!$F$10=20%,ROUND('Tabla de Amortizacion'!O100,8),ROUND('Tabla de Amortizacion'!R100,8))))))</f>
        <v>0</v>
      </c>
    </row>
    <row r="100" spans="1:3" ht="12.75">
      <c r="A100" s="140">
        <f t="shared" si="3"/>
        <v>42960</v>
      </c>
      <c r="B100" s="141">
        <f>IF('CALCULADORA TIPS Pesos E-11'!$F$10="Contractual",ROUND('Tabla de Amortizacion'!B101,8),IF('CALCULADORA TIPS Pesos E-11'!$F$10="6% (Medio)",ROUND('Tabla de Amortizacion'!E101,8),IF('CALCULADORA TIPS Pesos E-11'!$F$10="10% (Medio Alto)",ROUND('Tabla de Amortizacion'!H101,8),IF('CALCULADORA TIPS Pesos E-11'!$F$10="14% (Alto)",ROUND('Tabla de Amortizacion'!K101,8),IF('CALCULADORA TIPS Pesos E-11'!$F$10=20%,ROUND('Tabla de Amortizacion'!N101,8),ROUND('Tabla de Amortizacion'!Q101,8))))))</f>
        <v>0</v>
      </c>
      <c r="C100" s="141">
        <f>IF('CALCULADORA TIPS Pesos E-11'!$F$10="Contractual",ROUND('Tabla de Amortizacion'!C101,8),IF('CALCULADORA TIPS Pesos E-11'!$F$10="6% (Medio)",ROUND('Tabla de Amortizacion'!F101,8),IF('CALCULADORA TIPS Pesos E-11'!$F$10="10% (Medio Alto)",ROUND('Tabla de Amortizacion'!I101,8),IF('CALCULADORA TIPS Pesos E-11'!$F$10="14% (Alto)",ROUND('Tabla de Amortizacion'!L101,8),IF('CALCULADORA TIPS Pesos E-11'!$F$10=20%,ROUND('Tabla de Amortizacion'!O101,8),ROUND('Tabla de Amortizacion'!R101,8))))))</f>
        <v>0</v>
      </c>
    </row>
    <row r="101" spans="1:3" ht="12.75">
      <c r="A101" s="140">
        <f t="shared" si="3"/>
        <v>42991</v>
      </c>
      <c r="B101" s="141">
        <f>IF('CALCULADORA TIPS Pesos E-11'!$F$10="Contractual",ROUND('Tabla de Amortizacion'!B102,8),IF('CALCULADORA TIPS Pesos E-11'!$F$10="6% (Medio)",ROUND('Tabla de Amortizacion'!E102,8),IF('CALCULADORA TIPS Pesos E-11'!$F$10="10% (Medio Alto)",ROUND('Tabla de Amortizacion'!H102,8),IF('CALCULADORA TIPS Pesos E-11'!$F$10="14% (Alto)",ROUND('Tabla de Amortizacion'!K102,8),IF('CALCULADORA TIPS Pesos E-11'!$F$10=20%,ROUND('Tabla de Amortizacion'!N102,8),ROUND('Tabla de Amortizacion'!Q102,8))))))</f>
        <v>0</v>
      </c>
      <c r="C101" s="141">
        <f>IF('CALCULADORA TIPS Pesos E-11'!$F$10="Contractual",ROUND('Tabla de Amortizacion'!C102,8),IF('CALCULADORA TIPS Pesos E-11'!$F$10="6% (Medio)",ROUND('Tabla de Amortizacion'!F102,8),IF('CALCULADORA TIPS Pesos E-11'!$F$10="10% (Medio Alto)",ROUND('Tabla de Amortizacion'!I102,8),IF('CALCULADORA TIPS Pesos E-11'!$F$10="14% (Alto)",ROUND('Tabla de Amortizacion'!L102,8),IF('CALCULADORA TIPS Pesos E-11'!$F$10=20%,ROUND('Tabla de Amortizacion'!O102,8),ROUND('Tabla de Amortizacion'!R102,8))))))</f>
        <v>0</v>
      </c>
    </row>
    <row r="102" spans="1:3" ht="12.75">
      <c r="A102" s="140">
        <f t="shared" si="3"/>
        <v>43021</v>
      </c>
      <c r="B102" s="141">
        <f>IF('CALCULADORA TIPS Pesos E-11'!$F$10="Contractual",ROUND('Tabla de Amortizacion'!B103,8),IF('CALCULADORA TIPS Pesos E-11'!$F$10="6% (Medio)",ROUND('Tabla de Amortizacion'!E103,8),IF('CALCULADORA TIPS Pesos E-11'!$F$10="10% (Medio Alto)",ROUND('Tabla de Amortizacion'!H103,8),IF('CALCULADORA TIPS Pesos E-11'!$F$10="14% (Alto)",ROUND('Tabla de Amortizacion'!K103,8),IF('CALCULADORA TIPS Pesos E-11'!$F$10=20%,ROUND('Tabla de Amortizacion'!N103,8),ROUND('Tabla de Amortizacion'!Q103,8))))))</f>
        <v>0</v>
      </c>
      <c r="C102" s="141">
        <f>IF('CALCULADORA TIPS Pesos E-11'!$F$10="Contractual",ROUND('Tabla de Amortizacion'!C103,8),IF('CALCULADORA TIPS Pesos E-11'!$F$10="6% (Medio)",ROUND('Tabla de Amortizacion'!F103,8),IF('CALCULADORA TIPS Pesos E-11'!$F$10="10% (Medio Alto)",ROUND('Tabla de Amortizacion'!I103,8),IF('CALCULADORA TIPS Pesos E-11'!$F$10="14% (Alto)",ROUND('Tabla de Amortizacion'!L103,8),IF('CALCULADORA TIPS Pesos E-11'!$F$10=20%,ROUND('Tabla de Amortizacion'!O103,8),ROUND('Tabla de Amortizacion'!R103,8))))))</f>
        <v>0</v>
      </c>
    </row>
    <row r="103" spans="1:3" ht="12.75">
      <c r="A103" s="140">
        <f t="shared" si="3"/>
        <v>43052</v>
      </c>
      <c r="B103" s="141">
        <f>IF('CALCULADORA TIPS Pesos E-11'!$F$10="Contractual",ROUND('Tabla de Amortizacion'!B104,8),IF('CALCULADORA TIPS Pesos E-11'!$F$10="6% (Medio)",ROUND('Tabla de Amortizacion'!E104,8),IF('CALCULADORA TIPS Pesos E-11'!$F$10="10% (Medio Alto)",ROUND('Tabla de Amortizacion'!H104,8),IF('CALCULADORA TIPS Pesos E-11'!$F$10="14% (Alto)",ROUND('Tabla de Amortizacion'!K104,8),IF('CALCULADORA TIPS Pesos E-11'!$F$10=20%,ROUND('Tabla de Amortizacion'!N104,8),ROUND('Tabla de Amortizacion'!Q104,8))))))</f>
        <v>0</v>
      </c>
      <c r="C103" s="141">
        <f>IF('CALCULADORA TIPS Pesos E-11'!$F$10="Contractual",ROUND('Tabla de Amortizacion'!C104,8),IF('CALCULADORA TIPS Pesos E-11'!$F$10="6% (Medio)",ROUND('Tabla de Amortizacion'!F104,8),IF('CALCULADORA TIPS Pesos E-11'!$F$10="10% (Medio Alto)",ROUND('Tabla de Amortizacion'!I104,8),IF('CALCULADORA TIPS Pesos E-11'!$F$10="14% (Alto)",ROUND('Tabla de Amortizacion'!L104,8),IF('CALCULADORA TIPS Pesos E-11'!$F$10=20%,ROUND('Tabla de Amortizacion'!O104,8),ROUND('Tabla de Amortizacion'!R104,8))))))</f>
        <v>0</v>
      </c>
    </row>
    <row r="104" spans="1:3" ht="12.75">
      <c r="A104" s="140">
        <f t="shared" si="3"/>
        <v>43082</v>
      </c>
      <c r="B104" s="141">
        <f>IF('CALCULADORA TIPS Pesos E-11'!$F$10="Contractual",ROUND('Tabla de Amortizacion'!B105,8),IF('CALCULADORA TIPS Pesos E-11'!$F$10="6% (Medio)",ROUND('Tabla de Amortizacion'!E105,8),IF('CALCULADORA TIPS Pesos E-11'!$F$10="10% (Medio Alto)",ROUND('Tabla de Amortizacion'!H105,8),IF('CALCULADORA TIPS Pesos E-11'!$F$10="14% (Alto)",ROUND('Tabla de Amortizacion'!K105,8),IF('CALCULADORA TIPS Pesos E-11'!$F$10=20%,ROUND('Tabla de Amortizacion'!N105,8),ROUND('Tabla de Amortizacion'!Q105,8))))))</f>
        <v>0</v>
      </c>
      <c r="C104" s="141">
        <f>IF('CALCULADORA TIPS Pesos E-11'!$F$10="Contractual",ROUND('Tabla de Amortizacion'!C105,8),IF('CALCULADORA TIPS Pesos E-11'!$F$10="6% (Medio)",ROUND('Tabla de Amortizacion'!F105,8),IF('CALCULADORA TIPS Pesos E-11'!$F$10="10% (Medio Alto)",ROUND('Tabla de Amortizacion'!I105,8),IF('CALCULADORA TIPS Pesos E-11'!$F$10="14% (Alto)",ROUND('Tabla de Amortizacion'!L105,8),IF('CALCULADORA TIPS Pesos E-11'!$F$10=20%,ROUND('Tabla de Amortizacion'!O105,8),ROUND('Tabla de Amortizacion'!R105,8))))))</f>
        <v>0</v>
      </c>
    </row>
    <row r="105" spans="1:3" ht="12.75">
      <c r="A105" s="140">
        <f t="shared" si="3"/>
        <v>43113</v>
      </c>
      <c r="B105" s="141">
        <f>IF('CALCULADORA TIPS Pesos E-11'!$F$10="Contractual",ROUND('Tabla de Amortizacion'!B106,8),IF('CALCULADORA TIPS Pesos E-11'!$F$10="6% (Medio)",ROUND('Tabla de Amortizacion'!E106,8),IF('CALCULADORA TIPS Pesos E-11'!$F$10="10% (Medio Alto)",ROUND('Tabla de Amortizacion'!H106,8),IF('CALCULADORA TIPS Pesos E-11'!$F$10="14% (Alto)",ROUND('Tabla de Amortizacion'!K106,8),IF('CALCULADORA TIPS Pesos E-11'!$F$10=20%,ROUND('Tabla de Amortizacion'!N106,8),ROUND('Tabla de Amortizacion'!Q106,8))))))</f>
        <v>0</v>
      </c>
      <c r="C105" s="141">
        <f>IF('CALCULADORA TIPS Pesos E-11'!$F$10="Contractual",ROUND('Tabla de Amortizacion'!C106,8),IF('CALCULADORA TIPS Pesos E-11'!$F$10="6% (Medio)",ROUND('Tabla de Amortizacion'!F106,8),IF('CALCULADORA TIPS Pesos E-11'!$F$10="10% (Medio Alto)",ROUND('Tabla de Amortizacion'!I106,8),IF('CALCULADORA TIPS Pesos E-11'!$F$10="14% (Alto)",ROUND('Tabla de Amortizacion'!L106,8),IF('CALCULADORA TIPS Pesos E-11'!$F$10=20%,ROUND('Tabla de Amortizacion'!O106,8),ROUND('Tabla de Amortizacion'!R106,8))))))</f>
        <v>0</v>
      </c>
    </row>
    <row r="106" spans="1:3" ht="12.75">
      <c r="A106" s="140">
        <f t="shared" si="3"/>
        <v>43144</v>
      </c>
      <c r="B106" s="141">
        <f>IF('CALCULADORA TIPS Pesos E-11'!$F$10="Contractual",ROUND('Tabla de Amortizacion'!B107,8),IF('CALCULADORA TIPS Pesos E-11'!$F$10="6% (Medio)",ROUND('Tabla de Amortizacion'!E107,8),IF('CALCULADORA TIPS Pesos E-11'!$F$10="10% (Medio Alto)",ROUND('Tabla de Amortizacion'!H107,8),IF('CALCULADORA TIPS Pesos E-11'!$F$10="14% (Alto)",ROUND('Tabla de Amortizacion'!K107,8),IF('CALCULADORA TIPS Pesos E-11'!$F$10=20%,ROUND('Tabla de Amortizacion'!N107,8),ROUND('Tabla de Amortizacion'!Q107,8))))))</f>
        <v>0</v>
      </c>
      <c r="C106" s="141">
        <f>IF('CALCULADORA TIPS Pesos E-11'!$F$10="Contractual",ROUND('Tabla de Amortizacion'!C107,8),IF('CALCULADORA TIPS Pesos E-11'!$F$10="6% (Medio)",ROUND('Tabla de Amortizacion'!F107,8),IF('CALCULADORA TIPS Pesos E-11'!$F$10="10% (Medio Alto)",ROUND('Tabla de Amortizacion'!I107,8),IF('CALCULADORA TIPS Pesos E-11'!$F$10="14% (Alto)",ROUND('Tabla de Amortizacion'!L107,8),IF('CALCULADORA TIPS Pesos E-11'!$F$10=20%,ROUND('Tabla de Amortizacion'!O107,8),ROUND('Tabla de Amortizacion'!R107,8))))))</f>
        <v>0</v>
      </c>
    </row>
    <row r="107" spans="1:3" ht="12.75">
      <c r="A107" s="140">
        <f t="shared" si="3"/>
        <v>43172</v>
      </c>
      <c r="B107" s="141">
        <f>IF('CALCULADORA TIPS Pesos E-11'!$F$10="Contractual",ROUND('Tabla de Amortizacion'!B108,8),IF('CALCULADORA TIPS Pesos E-11'!$F$10="6% (Medio)",ROUND('Tabla de Amortizacion'!E108,8),IF('CALCULADORA TIPS Pesos E-11'!$F$10="10% (Medio Alto)",ROUND('Tabla de Amortizacion'!H108,8),IF('CALCULADORA TIPS Pesos E-11'!$F$10="14% (Alto)",ROUND('Tabla de Amortizacion'!K108,8),IF('CALCULADORA TIPS Pesos E-11'!$F$10=20%,ROUND('Tabla de Amortizacion'!N108,8),ROUND('Tabla de Amortizacion'!Q108,8))))))</f>
        <v>0</v>
      </c>
      <c r="C107" s="141">
        <f>IF('CALCULADORA TIPS Pesos E-11'!$F$10="Contractual",ROUND('Tabla de Amortizacion'!C108,8),IF('CALCULADORA TIPS Pesos E-11'!$F$10="6% (Medio)",ROUND('Tabla de Amortizacion'!F108,8),IF('CALCULADORA TIPS Pesos E-11'!$F$10="10% (Medio Alto)",ROUND('Tabla de Amortizacion'!I108,8),IF('CALCULADORA TIPS Pesos E-11'!$F$10="14% (Alto)",ROUND('Tabla de Amortizacion'!L108,8),IF('CALCULADORA TIPS Pesos E-11'!$F$10=20%,ROUND('Tabla de Amortizacion'!O108,8),ROUND('Tabla de Amortizacion'!R108,8))))))</f>
        <v>0</v>
      </c>
    </row>
    <row r="108" spans="1:3" ht="12.75">
      <c r="A108" s="140">
        <f t="shared" si="3"/>
        <v>43203</v>
      </c>
      <c r="B108" s="141">
        <f>IF('CALCULADORA TIPS Pesos E-11'!$F$10="Contractual",ROUND('Tabla de Amortizacion'!B109,8),IF('CALCULADORA TIPS Pesos E-11'!$F$10="6% (Medio)",ROUND('Tabla de Amortizacion'!E109,8),IF('CALCULADORA TIPS Pesos E-11'!$F$10="10% (Medio Alto)",ROUND('Tabla de Amortizacion'!H109,8),IF('CALCULADORA TIPS Pesos E-11'!$F$10="14% (Alto)",ROUND('Tabla de Amortizacion'!K109,8),IF('CALCULADORA TIPS Pesos E-11'!$F$10=20%,ROUND('Tabla de Amortizacion'!N109,8),ROUND('Tabla de Amortizacion'!Q109,8))))))</f>
        <v>0</v>
      </c>
      <c r="C108" s="141">
        <f>IF('CALCULADORA TIPS Pesos E-11'!$F$10="Contractual",ROUND('Tabla de Amortizacion'!C109,8),IF('CALCULADORA TIPS Pesos E-11'!$F$10="6% (Medio)",ROUND('Tabla de Amortizacion'!F109,8),IF('CALCULADORA TIPS Pesos E-11'!$F$10="10% (Medio Alto)",ROUND('Tabla de Amortizacion'!I109,8),IF('CALCULADORA TIPS Pesos E-11'!$F$10="14% (Alto)",ROUND('Tabla de Amortizacion'!L109,8),IF('CALCULADORA TIPS Pesos E-11'!$F$10=20%,ROUND('Tabla de Amortizacion'!O109,8),ROUND('Tabla de Amortizacion'!R109,8))))))</f>
        <v>0</v>
      </c>
    </row>
    <row r="109" spans="1:3" ht="12.75">
      <c r="A109" s="140">
        <f t="shared" si="3"/>
        <v>43233</v>
      </c>
      <c r="B109" s="141">
        <f>IF('CALCULADORA TIPS Pesos E-11'!$F$10="Contractual",ROUND('Tabla de Amortizacion'!B110,8),IF('CALCULADORA TIPS Pesos E-11'!$F$10="6% (Medio)",ROUND('Tabla de Amortizacion'!E110,8),IF('CALCULADORA TIPS Pesos E-11'!$F$10="10% (Medio Alto)",ROUND('Tabla de Amortizacion'!H110,8),IF('CALCULADORA TIPS Pesos E-11'!$F$10="14% (Alto)",ROUND('Tabla de Amortizacion'!K110,8),IF('CALCULADORA TIPS Pesos E-11'!$F$10=20%,ROUND('Tabla de Amortizacion'!N110,8),ROUND('Tabla de Amortizacion'!Q110,8))))))</f>
        <v>0</v>
      </c>
      <c r="C109" s="141">
        <f>IF('CALCULADORA TIPS Pesos E-11'!$F$10="Contractual",ROUND('Tabla de Amortizacion'!C110,8),IF('CALCULADORA TIPS Pesos E-11'!$F$10="6% (Medio)",ROUND('Tabla de Amortizacion'!F110,8),IF('CALCULADORA TIPS Pesos E-11'!$F$10="10% (Medio Alto)",ROUND('Tabla de Amortizacion'!I110,8),IF('CALCULADORA TIPS Pesos E-11'!$F$10="14% (Alto)",ROUND('Tabla de Amortizacion'!L110,8),IF('CALCULADORA TIPS Pesos E-11'!$F$10=20%,ROUND('Tabla de Amortizacion'!O110,8),ROUND('Tabla de Amortizacion'!R110,8))))))</f>
        <v>0</v>
      </c>
    </row>
    <row r="110" spans="1:3" ht="12.75">
      <c r="A110" s="140">
        <f t="shared" si="3"/>
        <v>43264</v>
      </c>
      <c r="B110" s="141">
        <f>IF('CALCULADORA TIPS Pesos E-11'!$F$10="Contractual",ROUND('Tabla de Amortizacion'!B111,8),IF('CALCULADORA TIPS Pesos E-11'!$F$10="6% (Medio)",ROUND('Tabla de Amortizacion'!E111,8),IF('CALCULADORA TIPS Pesos E-11'!$F$10="10% (Medio Alto)",ROUND('Tabla de Amortizacion'!H111,8),IF('CALCULADORA TIPS Pesos E-11'!$F$10="14% (Alto)",ROUND('Tabla de Amortizacion'!K111,8),IF('CALCULADORA TIPS Pesos E-11'!$F$10=20%,ROUND('Tabla de Amortizacion'!N111,8),ROUND('Tabla de Amortizacion'!Q111,8))))))</f>
        <v>0</v>
      </c>
      <c r="C110" s="141">
        <f>IF('CALCULADORA TIPS Pesos E-11'!$F$10="Contractual",ROUND('Tabla de Amortizacion'!C111,8),IF('CALCULADORA TIPS Pesos E-11'!$F$10="6% (Medio)",ROUND('Tabla de Amortizacion'!F111,8),IF('CALCULADORA TIPS Pesos E-11'!$F$10="10% (Medio Alto)",ROUND('Tabla de Amortizacion'!I111,8),IF('CALCULADORA TIPS Pesos E-11'!$F$10="14% (Alto)",ROUND('Tabla de Amortizacion'!L111,8),IF('CALCULADORA TIPS Pesos E-11'!$F$10=20%,ROUND('Tabla de Amortizacion'!O111,8),ROUND('Tabla de Amortizacion'!R111,8))))))</f>
        <v>0</v>
      </c>
    </row>
    <row r="111" spans="1:3" ht="12.75">
      <c r="A111" s="140">
        <f t="shared" si="3"/>
        <v>43294</v>
      </c>
      <c r="B111" s="141">
        <f>IF('CALCULADORA TIPS Pesos E-11'!$F$10="Contractual",ROUND('Tabla de Amortizacion'!B112,8),IF('CALCULADORA TIPS Pesos E-11'!$F$10="6% (Medio)",ROUND('Tabla de Amortizacion'!E112,8),IF('CALCULADORA TIPS Pesos E-11'!$F$10="10% (Medio Alto)",ROUND('Tabla de Amortizacion'!H112,8),IF('CALCULADORA TIPS Pesos E-11'!$F$10="14% (Alto)",ROUND('Tabla de Amortizacion'!K112,8),IF('CALCULADORA TIPS Pesos E-11'!$F$10=20%,ROUND('Tabla de Amortizacion'!N112,8),ROUND('Tabla de Amortizacion'!Q112,8))))))</f>
        <v>0</v>
      </c>
      <c r="C111" s="141">
        <f>IF('CALCULADORA TIPS Pesos E-11'!$F$10="Contractual",ROUND('Tabla de Amortizacion'!C112,8),IF('CALCULADORA TIPS Pesos E-11'!$F$10="6% (Medio)",ROUND('Tabla de Amortizacion'!F112,8),IF('CALCULADORA TIPS Pesos E-11'!$F$10="10% (Medio Alto)",ROUND('Tabla de Amortizacion'!I112,8),IF('CALCULADORA TIPS Pesos E-11'!$F$10="14% (Alto)",ROUND('Tabla de Amortizacion'!L112,8),IF('CALCULADORA TIPS Pesos E-11'!$F$10=20%,ROUND('Tabla de Amortizacion'!O112,8),ROUND('Tabla de Amortizacion'!R112,8))))))</f>
        <v>0</v>
      </c>
    </row>
    <row r="112" spans="1:3" ht="12.75">
      <c r="A112" s="140">
        <f t="shared" si="3"/>
        <v>43325</v>
      </c>
      <c r="B112" s="141">
        <f>IF('CALCULADORA TIPS Pesos E-11'!$F$10="Contractual",ROUND('Tabla de Amortizacion'!B113,8),IF('CALCULADORA TIPS Pesos E-11'!$F$10="6% (Medio)",ROUND('Tabla de Amortizacion'!E113,8),IF('CALCULADORA TIPS Pesos E-11'!$F$10="10% (Medio Alto)",ROUND('Tabla de Amortizacion'!H113,8),IF('CALCULADORA TIPS Pesos E-11'!$F$10="14% (Alto)",ROUND('Tabla de Amortizacion'!K113,8),IF('CALCULADORA TIPS Pesos E-11'!$F$10=20%,ROUND('Tabla de Amortizacion'!N113,8),ROUND('Tabla de Amortizacion'!Q113,8))))))</f>
        <v>0</v>
      </c>
      <c r="C112" s="141">
        <f>IF('CALCULADORA TIPS Pesos E-11'!$F$10="Contractual",ROUND('Tabla de Amortizacion'!C113,8),IF('CALCULADORA TIPS Pesos E-11'!$F$10="6% (Medio)",ROUND('Tabla de Amortizacion'!F113,8),IF('CALCULADORA TIPS Pesos E-11'!$F$10="10% (Medio Alto)",ROUND('Tabla de Amortizacion'!I113,8),IF('CALCULADORA TIPS Pesos E-11'!$F$10="14% (Alto)",ROUND('Tabla de Amortizacion'!L113,8),IF('CALCULADORA TIPS Pesos E-11'!$F$10=20%,ROUND('Tabla de Amortizacion'!O113,8),ROUND('Tabla de Amortizacion'!R113,8))))))</f>
        <v>0</v>
      </c>
    </row>
    <row r="113" spans="1:3" ht="12.75">
      <c r="A113" s="140">
        <f t="shared" si="3"/>
        <v>43356</v>
      </c>
      <c r="B113" s="141">
        <f>IF('CALCULADORA TIPS Pesos E-11'!$F$10="Contractual",ROUND('Tabla de Amortizacion'!B114,8),IF('CALCULADORA TIPS Pesos E-11'!$F$10="6% (Medio)",ROUND('Tabla de Amortizacion'!E114,8),IF('CALCULADORA TIPS Pesos E-11'!$F$10="10% (Medio Alto)",ROUND('Tabla de Amortizacion'!H114,8),IF('CALCULADORA TIPS Pesos E-11'!$F$10="14% (Alto)",ROUND('Tabla de Amortizacion'!K114,8),IF('CALCULADORA TIPS Pesos E-11'!$F$10=20%,ROUND('Tabla de Amortizacion'!N114,8),ROUND('Tabla de Amortizacion'!Q114,8))))))</f>
        <v>0</v>
      </c>
      <c r="C113" s="141">
        <f>IF('CALCULADORA TIPS Pesos E-11'!$F$10="Contractual",ROUND('Tabla de Amortizacion'!C114,8),IF('CALCULADORA TIPS Pesos E-11'!$F$10="6% (Medio)",ROUND('Tabla de Amortizacion'!F114,8),IF('CALCULADORA TIPS Pesos E-11'!$F$10="10% (Medio Alto)",ROUND('Tabla de Amortizacion'!I114,8),IF('CALCULADORA TIPS Pesos E-11'!$F$10="14% (Alto)",ROUND('Tabla de Amortizacion'!L114,8),IF('CALCULADORA TIPS Pesos E-11'!$F$10=20%,ROUND('Tabla de Amortizacion'!O114,8),ROUND('Tabla de Amortizacion'!R114,8))))))</f>
        <v>0</v>
      </c>
    </row>
    <row r="114" spans="1:3" ht="12.75">
      <c r="A114" s="140">
        <f t="shared" si="3"/>
        <v>43386</v>
      </c>
      <c r="B114" s="141">
        <f>IF('CALCULADORA TIPS Pesos E-11'!$F$10="Contractual",ROUND('Tabla de Amortizacion'!B115,8),IF('CALCULADORA TIPS Pesos E-11'!$F$10="6% (Medio)",ROUND('Tabla de Amortizacion'!E115,8),IF('CALCULADORA TIPS Pesos E-11'!$F$10="10% (Medio Alto)",ROUND('Tabla de Amortizacion'!H115,8),IF('CALCULADORA TIPS Pesos E-11'!$F$10="14% (Alto)",ROUND('Tabla de Amortizacion'!K115,8),IF('CALCULADORA TIPS Pesos E-11'!$F$10=20%,ROUND('Tabla de Amortizacion'!N115,8),ROUND('Tabla de Amortizacion'!Q115,8))))))</f>
        <v>0</v>
      </c>
      <c r="C114" s="141">
        <f>IF('CALCULADORA TIPS Pesos E-11'!$F$10="Contractual",ROUND('Tabla de Amortizacion'!C115,8),IF('CALCULADORA TIPS Pesos E-11'!$F$10="6% (Medio)",ROUND('Tabla de Amortizacion'!F115,8),IF('CALCULADORA TIPS Pesos E-11'!$F$10="10% (Medio Alto)",ROUND('Tabla de Amortizacion'!I115,8),IF('CALCULADORA TIPS Pesos E-11'!$F$10="14% (Alto)",ROUND('Tabla de Amortizacion'!L115,8),IF('CALCULADORA TIPS Pesos E-11'!$F$10=20%,ROUND('Tabla de Amortizacion'!O115,8),ROUND('Tabla de Amortizacion'!R115,8))))))</f>
        <v>0</v>
      </c>
    </row>
    <row r="115" spans="1:3" ht="12.75">
      <c r="A115" s="140">
        <f t="shared" si="3"/>
        <v>43417</v>
      </c>
      <c r="B115" s="141">
        <f>IF('CALCULADORA TIPS Pesos E-11'!$F$10="Contractual",ROUND('Tabla de Amortizacion'!B116,8),IF('CALCULADORA TIPS Pesos E-11'!$F$10="6% (Medio)",ROUND('Tabla de Amortizacion'!E116,8),IF('CALCULADORA TIPS Pesos E-11'!$F$10="10% (Medio Alto)",ROUND('Tabla de Amortizacion'!H116,8),IF('CALCULADORA TIPS Pesos E-11'!$F$10="14% (Alto)",ROUND('Tabla de Amortizacion'!K116,8),IF('CALCULADORA TIPS Pesos E-11'!$F$10=20%,ROUND('Tabla de Amortizacion'!N116,8),ROUND('Tabla de Amortizacion'!Q116,8))))))</f>
        <v>0</v>
      </c>
      <c r="C115" s="141">
        <f>IF('CALCULADORA TIPS Pesos E-11'!$F$10="Contractual",ROUND('Tabla de Amortizacion'!C116,8),IF('CALCULADORA TIPS Pesos E-11'!$F$10="6% (Medio)",ROUND('Tabla de Amortizacion'!F116,8),IF('CALCULADORA TIPS Pesos E-11'!$F$10="10% (Medio Alto)",ROUND('Tabla de Amortizacion'!I116,8),IF('CALCULADORA TIPS Pesos E-11'!$F$10="14% (Alto)",ROUND('Tabla de Amortizacion'!L116,8),IF('CALCULADORA TIPS Pesos E-11'!$F$10=20%,ROUND('Tabla de Amortizacion'!O116,8),ROUND('Tabla de Amortizacion'!R116,8))))))</f>
        <v>0</v>
      </c>
    </row>
    <row r="116" spans="1:3" ht="12.75">
      <c r="A116" s="140">
        <f t="shared" si="3"/>
        <v>43447</v>
      </c>
      <c r="B116" s="141">
        <f>IF('CALCULADORA TIPS Pesos E-11'!$F$10="Contractual",ROUND('Tabla de Amortizacion'!B117,8),IF('CALCULADORA TIPS Pesos E-11'!$F$10="6% (Medio)",ROUND('Tabla de Amortizacion'!E117,8),IF('CALCULADORA TIPS Pesos E-11'!$F$10="10% (Medio Alto)",ROUND('Tabla de Amortizacion'!H117,8),IF('CALCULADORA TIPS Pesos E-11'!$F$10="14% (Alto)",ROUND('Tabla de Amortizacion'!K117,8),IF('CALCULADORA TIPS Pesos E-11'!$F$10=20%,ROUND('Tabla de Amortizacion'!N117,8),ROUND('Tabla de Amortizacion'!Q117,8))))))</f>
        <v>0</v>
      </c>
      <c r="C116" s="141">
        <f>IF('CALCULADORA TIPS Pesos E-11'!$F$10="Contractual",ROUND('Tabla de Amortizacion'!C117,8),IF('CALCULADORA TIPS Pesos E-11'!$F$10="6% (Medio)",ROUND('Tabla de Amortizacion'!F117,8),IF('CALCULADORA TIPS Pesos E-11'!$F$10="10% (Medio Alto)",ROUND('Tabla de Amortizacion'!I117,8),IF('CALCULADORA TIPS Pesos E-11'!$F$10="14% (Alto)",ROUND('Tabla de Amortizacion'!L117,8),IF('CALCULADORA TIPS Pesos E-11'!$F$10=20%,ROUND('Tabla de Amortizacion'!O117,8),ROUND('Tabla de Amortizacion'!R117,8))))))</f>
        <v>0</v>
      </c>
    </row>
    <row r="117" spans="1:3" ht="12.75">
      <c r="A117" s="140">
        <f t="shared" si="3"/>
        <v>43478</v>
      </c>
      <c r="B117" s="141">
        <f>IF('CALCULADORA TIPS Pesos E-11'!$F$10="Contractual",ROUND('Tabla de Amortizacion'!B118,8),IF('CALCULADORA TIPS Pesos E-11'!$F$10="6% (Medio)",ROUND('Tabla de Amortizacion'!E118,8),IF('CALCULADORA TIPS Pesos E-11'!$F$10="10% (Medio Alto)",ROUND('Tabla de Amortizacion'!H118,8),IF('CALCULADORA TIPS Pesos E-11'!$F$10="14% (Alto)",ROUND('Tabla de Amortizacion'!K118,8),IF('CALCULADORA TIPS Pesos E-11'!$F$10=20%,ROUND('Tabla de Amortizacion'!N118,8),ROUND('Tabla de Amortizacion'!Q118,8))))))</f>
        <v>0</v>
      </c>
      <c r="C117" s="141">
        <f>IF('CALCULADORA TIPS Pesos E-11'!$F$10="Contractual",ROUND('Tabla de Amortizacion'!C118,8),IF('CALCULADORA TIPS Pesos E-11'!$F$10="6% (Medio)",ROUND('Tabla de Amortizacion'!F118,8),IF('CALCULADORA TIPS Pesos E-11'!$F$10="10% (Medio Alto)",ROUND('Tabla de Amortizacion'!I118,8),IF('CALCULADORA TIPS Pesos E-11'!$F$10="14% (Alto)",ROUND('Tabla de Amortizacion'!L118,8),IF('CALCULADORA TIPS Pesos E-11'!$F$10=20%,ROUND('Tabla de Amortizacion'!O118,8),ROUND('Tabla de Amortizacion'!R118,8))))))</f>
        <v>0</v>
      </c>
    </row>
    <row r="118" spans="1:3" ht="12.75">
      <c r="A118" s="140">
        <f t="shared" si="3"/>
        <v>43509</v>
      </c>
      <c r="B118" s="141">
        <f>IF('CALCULADORA TIPS Pesos E-11'!$F$10="Contractual",ROUND('Tabla de Amortizacion'!B119,8),IF('CALCULADORA TIPS Pesos E-11'!$F$10="6% (Medio)",ROUND('Tabla de Amortizacion'!E119,8),IF('CALCULADORA TIPS Pesos E-11'!$F$10="10% (Medio Alto)",ROUND('Tabla de Amortizacion'!H119,8),IF('CALCULADORA TIPS Pesos E-11'!$F$10="14% (Alto)",ROUND('Tabla de Amortizacion'!K119,8),IF('CALCULADORA TIPS Pesos E-11'!$F$10=20%,ROUND('Tabla de Amortizacion'!N119,8),ROUND('Tabla de Amortizacion'!Q119,8))))))</f>
        <v>0</v>
      </c>
      <c r="C118" s="141">
        <f>IF('CALCULADORA TIPS Pesos E-11'!$F$10="Contractual",ROUND('Tabla de Amortizacion'!C119,8),IF('CALCULADORA TIPS Pesos E-11'!$F$10="6% (Medio)",ROUND('Tabla de Amortizacion'!F119,8),IF('CALCULADORA TIPS Pesos E-11'!$F$10="10% (Medio Alto)",ROUND('Tabla de Amortizacion'!I119,8),IF('CALCULADORA TIPS Pesos E-11'!$F$10="14% (Alto)",ROUND('Tabla de Amortizacion'!L119,8),IF('CALCULADORA TIPS Pesos E-11'!$F$10=20%,ROUND('Tabla de Amortizacion'!O119,8),ROUND('Tabla de Amortizacion'!R119,8))))))</f>
        <v>0</v>
      </c>
    </row>
    <row r="119" spans="1:3" ht="12.75">
      <c r="A119" s="140">
        <f t="shared" si="3"/>
        <v>43537</v>
      </c>
      <c r="B119" s="141">
        <f>IF('CALCULADORA TIPS Pesos E-11'!$F$10="Contractual",ROUND('Tabla de Amortizacion'!B120,8),IF('CALCULADORA TIPS Pesos E-11'!$F$10="6% (Medio)",ROUND('Tabla de Amortizacion'!E120,8),IF('CALCULADORA TIPS Pesos E-11'!$F$10="10% (Medio Alto)",ROUND('Tabla de Amortizacion'!H120,8),IF('CALCULADORA TIPS Pesos E-11'!$F$10="14% (Alto)",ROUND('Tabla de Amortizacion'!K120,8),IF('CALCULADORA TIPS Pesos E-11'!$F$10=20%,ROUND('Tabla de Amortizacion'!N120,8),ROUND('Tabla de Amortizacion'!Q120,8))))))</f>
        <v>0</v>
      </c>
      <c r="C119" s="141">
        <f>IF('CALCULADORA TIPS Pesos E-11'!$F$10="Contractual",ROUND('Tabla de Amortizacion'!C120,8),IF('CALCULADORA TIPS Pesos E-11'!$F$10="6% (Medio)",ROUND('Tabla de Amortizacion'!F120,8),IF('CALCULADORA TIPS Pesos E-11'!$F$10="10% (Medio Alto)",ROUND('Tabla de Amortizacion'!I120,8),IF('CALCULADORA TIPS Pesos E-11'!$F$10="14% (Alto)",ROUND('Tabla de Amortizacion'!L120,8),IF('CALCULADORA TIPS Pesos E-11'!$F$10=20%,ROUND('Tabla de Amortizacion'!O120,8),ROUND('Tabla de Amortizacion'!R120,8))))))</f>
        <v>0</v>
      </c>
    </row>
    <row r="120" spans="1:3" ht="12.75">
      <c r="A120" s="140">
        <f t="shared" si="3"/>
        <v>43568</v>
      </c>
      <c r="B120" s="141">
        <f>IF('CALCULADORA TIPS Pesos E-11'!$F$10="Contractual",ROUND('Tabla de Amortizacion'!B121,8),IF('CALCULADORA TIPS Pesos E-11'!$F$10="6% (Medio)",ROUND('Tabla de Amortizacion'!E121,8),IF('CALCULADORA TIPS Pesos E-11'!$F$10="10% (Medio Alto)",ROUND('Tabla de Amortizacion'!H121,8),IF('CALCULADORA TIPS Pesos E-11'!$F$10="14% (Alto)",ROUND('Tabla de Amortizacion'!K121,8),IF('CALCULADORA TIPS Pesos E-11'!$F$10=20%,ROUND('Tabla de Amortizacion'!N121,8),ROUND('Tabla de Amortizacion'!Q121,8))))))</f>
        <v>0</v>
      </c>
      <c r="C120" s="141">
        <f>IF('CALCULADORA TIPS Pesos E-11'!$F$10="Contractual",ROUND('Tabla de Amortizacion'!C121,8),IF('CALCULADORA TIPS Pesos E-11'!$F$10="6% (Medio)",ROUND('Tabla de Amortizacion'!F121,8),IF('CALCULADORA TIPS Pesos E-11'!$F$10="10% (Medio Alto)",ROUND('Tabla de Amortizacion'!I121,8),IF('CALCULADORA TIPS Pesos E-11'!$F$10="14% (Alto)",ROUND('Tabla de Amortizacion'!L121,8),IF('CALCULADORA TIPS Pesos E-11'!$F$10=20%,ROUND('Tabla de Amortizacion'!O121,8),ROUND('Tabla de Amortizacion'!R121,8))))))</f>
        <v>0</v>
      </c>
    </row>
    <row r="121" spans="1:3" ht="12.75">
      <c r="A121" s="140">
        <f t="shared" si="3"/>
        <v>43598</v>
      </c>
      <c r="B121" s="141">
        <f>IF('CALCULADORA TIPS Pesos E-11'!$F$10="Contractual",ROUND('Tabla de Amortizacion'!B122,8),IF('CALCULADORA TIPS Pesos E-11'!$F$10="6% (Medio)",ROUND('Tabla de Amortizacion'!E122,8),IF('CALCULADORA TIPS Pesos E-11'!$F$10="10% (Medio Alto)",ROUND('Tabla de Amortizacion'!H122,8),IF('CALCULADORA TIPS Pesos E-11'!$F$10="14% (Alto)",ROUND('Tabla de Amortizacion'!K122,8),IF('CALCULADORA TIPS Pesos E-11'!$F$10=20%,ROUND('Tabla de Amortizacion'!N122,8),ROUND('Tabla de Amortizacion'!Q122,8))))))</f>
        <v>0</v>
      </c>
      <c r="C121" s="141">
        <f>IF('CALCULADORA TIPS Pesos E-11'!$F$10="Contractual",ROUND('Tabla de Amortizacion'!C122,8),IF('CALCULADORA TIPS Pesos E-11'!$F$10="6% (Medio)",ROUND('Tabla de Amortizacion'!F122,8),IF('CALCULADORA TIPS Pesos E-11'!$F$10="10% (Medio Alto)",ROUND('Tabla de Amortizacion'!I122,8),IF('CALCULADORA TIPS Pesos E-11'!$F$10="14% (Alto)",ROUND('Tabla de Amortizacion'!L122,8),IF('CALCULADORA TIPS Pesos E-11'!$F$10=20%,ROUND('Tabla de Amortizacion'!O122,8),ROUND('Tabla de Amortizacion'!R122,8))))))</f>
        <v>0</v>
      </c>
    </row>
    <row r="122" spans="1:3" ht="12.75">
      <c r="A122" s="140">
        <f t="shared" si="3"/>
        <v>43629</v>
      </c>
      <c r="B122" s="141">
        <f>IF('CALCULADORA TIPS Pesos E-11'!$F$10="Contractual",ROUND('Tabla de Amortizacion'!B123,8),IF('CALCULADORA TIPS Pesos E-11'!$F$10="6% (Medio)",ROUND('Tabla de Amortizacion'!E123,8),IF('CALCULADORA TIPS Pesos E-11'!$F$10="10% (Medio Alto)",ROUND('Tabla de Amortizacion'!H123,8),IF('CALCULADORA TIPS Pesos E-11'!$F$10="14% (Alto)",ROUND('Tabla de Amortizacion'!K123,8),IF('CALCULADORA TIPS Pesos E-11'!$F$10=20%,ROUND('Tabla de Amortizacion'!N123,8),ROUND('Tabla de Amortizacion'!Q123,8))))))</f>
        <v>0</v>
      </c>
      <c r="C122" s="141">
        <f>IF('CALCULADORA TIPS Pesos E-11'!$F$10="Contractual",ROUND('Tabla de Amortizacion'!C123,8),IF('CALCULADORA TIPS Pesos E-11'!$F$10="6% (Medio)",ROUND('Tabla de Amortizacion'!F123,8),IF('CALCULADORA TIPS Pesos E-11'!$F$10="10% (Medio Alto)",ROUND('Tabla de Amortizacion'!I123,8),IF('CALCULADORA TIPS Pesos E-11'!$F$10="14% (Alto)",ROUND('Tabla de Amortizacion'!L123,8),IF('CALCULADORA TIPS Pesos E-11'!$F$10=20%,ROUND('Tabla de Amortizacion'!O123,8),ROUND('Tabla de Amortizacion'!R123,8))))))</f>
        <v>0</v>
      </c>
    </row>
    <row r="123" spans="1:3" ht="12.75">
      <c r="A123" s="140">
        <f t="shared" si="3"/>
        <v>43659</v>
      </c>
      <c r="B123" s="141">
        <f>IF('CALCULADORA TIPS Pesos E-11'!$F$10="Contractual",ROUND('Tabla de Amortizacion'!B124,8),IF('CALCULADORA TIPS Pesos E-11'!$F$10="6% (Medio)",ROUND('Tabla de Amortizacion'!E124,8),IF('CALCULADORA TIPS Pesos E-11'!$F$10="10% (Medio Alto)",ROUND('Tabla de Amortizacion'!H124,8),IF('CALCULADORA TIPS Pesos E-11'!$F$10="14% (Alto)",ROUND('Tabla de Amortizacion'!K124,8),IF('CALCULADORA TIPS Pesos E-11'!$F$10=20%,ROUND('Tabla de Amortizacion'!N124,8),ROUND('Tabla de Amortizacion'!Q124,8))))))</f>
        <v>0</v>
      </c>
      <c r="C123" s="141">
        <f>IF('CALCULADORA TIPS Pesos E-11'!$F$10="Contractual",ROUND('Tabla de Amortizacion'!C124,8),IF('CALCULADORA TIPS Pesos E-11'!$F$10="6% (Medio)",ROUND('Tabla de Amortizacion'!F124,8),IF('CALCULADORA TIPS Pesos E-11'!$F$10="10% (Medio Alto)",ROUND('Tabla de Amortizacion'!I124,8),IF('CALCULADORA TIPS Pesos E-11'!$F$10="14% (Alto)",ROUND('Tabla de Amortizacion'!L124,8),IF('CALCULADORA TIPS Pesos E-11'!$F$10=20%,ROUND('Tabla de Amortizacion'!O124,8),ROUND('Tabla de Amortizacion'!R124,8))))))</f>
        <v>0</v>
      </c>
    </row>
    <row r="124" spans="1:3" ht="12.75">
      <c r="A124" s="140">
        <f t="shared" si="3"/>
        <v>43690</v>
      </c>
      <c r="B124" s="141">
        <f>IF('CALCULADORA TIPS Pesos E-11'!$F$10="Contractual",ROUND('Tabla de Amortizacion'!B125,8),IF('CALCULADORA TIPS Pesos E-11'!$F$10="6% (Medio)",ROUND('Tabla de Amortizacion'!E125,8),IF('CALCULADORA TIPS Pesos E-11'!$F$10="10% (Medio Alto)",ROUND('Tabla de Amortizacion'!H125,8),IF('CALCULADORA TIPS Pesos E-11'!$F$10="14% (Alto)",ROUND('Tabla de Amortizacion'!K125,8),IF('CALCULADORA TIPS Pesos E-11'!$F$10=20%,ROUND('Tabla de Amortizacion'!N125,8),ROUND('Tabla de Amortizacion'!Q125,8))))))</f>
        <v>0</v>
      </c>
      <c r="C124" s="141">
        <f>IF('CALCULADORA TIPS Pesos E-11'!$F$10="Contractual",ROUND('Tabla de Amortizacion'!C125,8),IF('CALCULADORA TIPS Pesos E-11'!$F$10="6% (Medio)",ROUND('Tabla de Amortizacion'!F125,8),IF('CALCULADORA TIPS Pesos E-11'!$F$10="10% (Medio Alto)",ROUND('Tabla de Amortizacion'!I125,8),IF('CALCULADORA TIPS Pesos E-11'!$F$10="14% (Alto)",ROUND('Tabla de Amortizacion'!L125,8),IF('CALCULADORA TIPS Pesos E-11'!$F$10=20%,ROUND('Tabla de Amortizacion'!O125,8),ROUND('Tabla de Amortizacion'!R125,8))))))</f>
        <v>0</v>
      </c>
    </row>
    <row r="125" spans="1:3" ht="12.75">
      <c r="A125" s="140">
        <f t="shared" si="3"/>
        <v>43721</v>
      </c>
      <c r="B125" s="141">
        <f>IF('CALCULADORA TIPS Pesos E-11'!$F$10="Contractual",ROUND('Tabla de Amortizacion'!B126,8),IF('CALCULADORA TIPS Pesos E-11'!$F$10="6% (Medio)",ROUND('Tabla de Amortizacion'!E126,8),IF('CALCULADORA TIPS Pesos E-11'!$F$10="10% (Medio Alto)",ROUND('Tabla de Amortizacion'!H126,8),IF('CALCULADORA TIPS Pesos E-11'!$F$10="14% (Alto)",ROUND('Tabla de Amortizacion'!K126,8),IF('CALCULADORA TIPS Pesos E-11'!$F$10=20%,ROUND('Tabla de Amortizacion'!N126,8),ROUND('Tabla de Amortizacion'!Q126,8))))))</f>
        <v>0</v>
      </c>
      <c r="C125" s="141">
        <f>IF('CALCULADORA TIPS Pesos E-11'!$F$10="Contractual",ROUND('Tabla de Amortizacion'!C126,8),IF('CALCULADORA TIPS Pesos E-11'!$F$10="6% (Medio)",ROUND('Tabla de Amortizacion'!F126,8),IF('CALCULADORA TIPS Pesos E-11'!$F$10="10% (Medio Alto)",ROUND('Tabla de Amortizacion'!I126,8),IF('CALCULADORA TIPS Pesos E-11'!$F$10="14% (Alto)",ROUND('Tabla de Amortizacion'!L126,8),IF('CALCULADORA TIPS Pesos E-11'!$F$10=20%,ROUND('Tabla de Amortizacion'!O126,8),ROUND('Tabla de Amortizacion'!R126,8))))))</f>
        <v>0</v>
      </c>
    </row>
    <row r="126" spans="1:3" ht="12.75">
      <c r="A126" s="140">
        <f t="shared" si="3"/>
        <v>43751</v>
      </c>
      <c r="B126" s="141">
        <f>IF('CALCULADORA TIPS Pesos E-11'!$F$10="Contractual",ROUND('Tabla de Amortizacion'!B127,8),IF('CALCULADORA TIPS Pesos E-11'!$F$10="6% (Medio)",ROUND('Tabla de Amortizacion'!E127,8),IF('CALCULADORA TIPS Pesos E-11'!$F$10="10% (Medio Alto)",ROUND('Tabla de Amortizacion'!H127,8),IF('CALCULADORA TIPS Pesos E-11'!$F$10="14% (Alto)",ROUND('Tabla de Amortizacion'!K127,8),IF('CALCULADORA TIPS Pesos E-11'!$F$10=20%,ROUND('Tabla de Amortizacion'!N127,8),ROUND('Tabla de Amortizacion'!Q127,8))))))</f>
        <v>0</v>
      </c>
      <c r="C126" s="141">
        <f>IF('CALCULADORA TIPS Pesos E-11'!$F$10="Contractual",ROUND('Tabla de Amortizacion'!C127,8),IF('CALCULADORA TIPS Pesos E-11'!$F$10="6% (Medio)",ROUND('Tabla de Amortizacion'!F127,8),IF('CALCULADORA TIPS Pesos E-11'!$F$10="10% (Medio Alto)",ROUND('Tabla de Amortizacion'!I127,8),IF('CALCULADORA TIPS Pesos E-11'!$F$10="14% (Alto)",ROUND('Tabla de Amortizacion'!L127,8),IF('CALCULADORA TIPS Pesos E-11'!$F$10=20%,ROUND('Tabla de Amortizacion'!O127,8),ROUND('Tabla de Amortizacion'!R127,8))))))</f>
        <v>0</v>
      </c>
    </row>
    <row r="127" spans="1:3" ht="12.75">
      <c r="A127" s="140">
        <f t="shared" si="3"/>
        <v>43782</v>
      </c>
      <c r="B127" s="141">
        <f>IF('CALCULADORA TIPS Pesos E-11'!$F$10="Contractual",ROUND('Tabla de Amortizacion'!B128,8),IF('CALCULADORA TIPS Pesos E-11'!$F$10="6% (Medio)",ROUND('Tabla de Amortizacion'!E128,8),IF('CALCULADORA TIPS Pesos E-11'!$F$10="10% (Medio Alto)",ROUND('Tabla de Amortizacion'!H128,8),IF('CALCULADORA TIPS Pesos E-11'!$F$10="14% (Alto)",ROUND('Tabla de Amortizacion'!K128,8),IF('CALCULADORA TIPS Pesos E-11'!$F$10=20%,ROUND('Tabla de Amortizacion'!N128,8),ROUND('Tabla de Amortizacion'!Q128,8))))))</f>
        <v>0</v>
      </c>
      <c r="C127" s="141">
        <f>IF('CALCULADORA TIPS Pesos E-11'!$F$10="Contractual",ROUND('Tabla de Amortizacion'!C128,8),IF('CALCULADORA TIPS Pesos E-11'!$F$10="6% (Medio)",ROUND('Tabla de Amortizacion'!F128,8),IF('CALCULADORA TIPS Pesos E-11'!$F$10="10% (Medio Alto)",ROUND('Tabla de Amortizacion'!I128,8),IF('CALCULADORA TIPS Pesos E-11'!$F$10="14% (Alto)",ROUND('Tabla de Amortizacion'!L128,8),IF('CALCULADORA TIPS Pesos E-11'!$F$10=20%,ROUND('Tabla de Amortizacion'!O128,8),ROUND('Tabla de Amortizacion'!R128,8))))))</f>
        <v>0</v>
      </c>
    </row>
    <row r="128" spans="1:3" ht="12.75">
      <c r="A128" s="140">
        <f t="shared" si="3"/>
        <v>43812</v>
      </c>
      <c r="B128" s="141">
        <f>IF('CALCULADORA TIPS Pesos E-11'!$F$10="Contractual",ROUND('Tabla de Amortizacion'!B129,8),IF('CALCULADORA TIPS Pesos E-11'!$F$10="6% (Medio)",ROUND('Tabla de Amortizacion'!E129,8),IF('CALCULADORA TIPS Pesos E-11'!$F$10="10% (Medio Alto)",ROUND('Tabla de Amortizacion'!H129,8),IF('CALCULADORA TIPS Pesos E-11'!$F$10="14% (Alto)",ROUND('Tabla de Amortizacion'!K129,8),IF('CALCULADORA TIPS Pesos E-11'!$F$10=20%,ROUND('Tabla de Amortizacion'!N129,8),ROUND('Tabla de Amortizacion'!Q129,8))))))</f>
        <v>0</v>
      </c>
      <c r="C128" s="141">
        <f>IF('CALCULADORA TIPS Pesos E-11'!$F$10="Contractual",ROUND('Tabla de Amortizacion'!C129,8),IF('CALCULADORA TIPS Pesos E-11'!$F$10="6% (Medio)",ROUND('Tabla de Amortizacion'!F129,8),IF('CALCULADORA TIPS Pesos E-11'!$F$10="10% (Medio Alto)",ROUND('Tabla de Amortizacion'!I129,8),IF('CALCULADORA TIPS Pesos E-11'!$F$10="14% (Alto)",ROUND('Tabla de Amortizacion'!L129,8),IF('CALCULADORA TIPS Pesos E-11'!$F$10=20%,ROUND('Tabla de Amortizacion'!O129,8),ROUND('Tabla de Amortizacion'!R129,8))))))</f>
        <v>0</v>
      </c>
    </row>
    <row r="129" spans="1:3" ht="12.75">
      <c r="A129" s="140">
        <f t="shared" si="3"/>
        <v>43843</v>
      </c>
      <c r="B129" s="141">
        <f>IF('CALCULADORA TIPS Pesos E-11'!$F$10="Contractual",ROUND('Tabla de Amortizacion'!B130,8),IF('CALCULADORA TIPS Pesos E-11'!$F$10="6% (Medio)",ROUND('Tabla de Amortizacion'!E130,8),IF('CALCULADORA TIPS Pesos E-11'!$F$10="10% (Medio Alto)",ROUND('Tabla de Amortizacion'!H130,8),IF('CALCULADORA TIPS Pesos E-11'!$F$10="14% (Alto)",ROUND('Tabla de Amortizacion'!K130,8),IF('CALCULADORA TIPS Pesos E-11'!$F$10=20%,ROUND('Tabla de Amortizacion'!N130,8),ROUND('Tabla de Amortizacion'!Q130,8))))))</f>
        <v>0</v>
      </c>
      <c r="C129" s="141">
        <f>IF('CALCULADORA TIPS Pesos E-11'!$F$10="Contractual",ROUND('Tabla de Amortizacion'!C130,8),IF('CALCULADORA TIPS Pesos E-11'!$F$10="6% (Medio)",ROUND('Tabla de Amortizacion'!F130,8),IF('CALCULADORA TIPS Pesos E-11'!$F$10="10% (Medio Alto)",ROUND('Tabla de Amortizacion'!I130,8),IF('CALCULADORA TIPS Pesos E-11'!$F$10="14% (Alto)",ROUND('Tabla de Amortizacion'!L130,8),IF('CALCULADORA TIPS Pesos E-11'!$F$10=20%,ROUND('Tabla de Amortizacion'!O130,8),ROUND('Tabla de Amortizacion'!R130,8))))))</f>
        <v>0</v>
      </c>
    </row>
    <row r="130" spans="1:3" ht="12.75">
      <c r="A130" s="140">
        <f t="shared" si="3"/>
        <v>43874</v>
      </c>
      <c r="B130" s="141">
        <f>IF('CALCULADORA TIPS Pesos E-11'!$F$10="Contractual",ROUND('Tabla de Amortizacion'!B131,8),IF('CALCULADORA TIPS Pesos E-11'!$F$10="6% (Medio)",ROUND('Tabla de Amortizacion'!E131,8),IF('CALCULADORA TIPS Pesos E-11'!$F$10="10% (Medio Alto)",ROUND('Tabla de Amortizacion'!H131,8),IF('CALCULADORA TIPS Pesos E-11'!$F$10="14% (Alto)",ROUND('Tabla de Amortizacion'!K131,8),IF('CALCULADORA TIPS Pesos E-11'!$F$10=20%,ROUND('Tabla de Amortizacion'!N131,8),ROUND('Tabla de Amortizacion'!Q131,8))))))</f>
        <v>0</v>
      </c>
      <c r="C130" s="141">
        <f>IF('CALCULADORA TIPS Pesos E-11'!$F$10="Contractual",ROUND('Tabla de Amortizacion'!C131,8),IF('CALCULADORA TIPS Pesos E-11'!$F$10="6% (Medio)",ROUND('Tabla de Amortizacion'!F131,8),IF('CALCULADORA TIPS Pesos E-11'!$F$10="10% (Medio Alto)",ROUND('Tabla de Amortizacion'!I131,8),IF('CALCULADORA TIPS Pesos E-11'!$F$10="14% (Alto)",ROUND('Tabla de Amortizacion'!L131,8),IF('CALCULADORA TIPS Pesos E-11'!$F$10=20%,ROUND('Tabla de Amortizacion'!O131,8),ROUND('Tabla de Amortizacion'!R131,8))))))</f>
        <v>0</v>
      </c>
    </row>
    <row r="131" spans="1:3" ht="12.75">
      <c r="A131" s="140">
        <f aca="true" t="shared" si="4" ref="A131:A162">_XLL.FECHA.MES(A130,1)</f>
        <v>43903</v>
      </c>
      <c r="B131" s="141">
        <f>IF('CALCULADORA TIPS Pesos E-11'!$F$10="Contractual",ROUND('Tabla de Amortizacion'!B132,8),IF('CALCULADORA TIPS Pesos E-11'!$F$10="6% (Medio)",ROUND('Tabla de Amortizacion'!E132,8),IF('CALCULADORA TIPS Pesos E-11'!$F$10="10% (Medio Alto)",ROUND('Tabla de Amortizacion'!H132,8),IF('CALCULADORA TIPS Pesos E-11'!$F$10="14% (Alto)",ROUND('Tabla de Amortizacion'!K132,8),IF('CALCULADORA TIPS Pesos E-11'!$F$10=20%,ROUND('Tabla de Amortizacion'!N132,8),ROUND('Tabla de Amortizacion'!Q132,8))))))</f>
        <v>0</v>
      </c>
      <c r="C131" s="141">
        <f>IF('CALCULADORA TIPS Pesos E-11'!$F$10="Contractual",ROUND('Tabla de Amortizacion'!C132,8),IF('CALCULADORA TIPS Pesos E-11'!$F$10="6% (Medio)",ROUND('Tabla de Amortizacion'!F132,8),IF('CALCULADORA TIPS Pesos E-11'!$F$10="10% (Medio Alto)",ROUND('Tabla de Amortizacion'!I132,8),IF('CALCULADORA TIPS Pesos E-11'!$F$10="14% (Alto)",ROUND('Tabla de Amortizacion'!L132,8),IF('CALCULADORA TIPS Pesos E-11'!$F$10=20%,ROUND('Tabla de Amortizacion'!O132,8),ROUND('Tabla de Amortizacion'!R132,8))))))</f>
        <v>0</v>
      </c>
    </row>
    <row r="132" spans="1:3" ht="12.75">
      <c r="A132" s="140">
        <f t="shared" si="4"/>
        <v>43934</v>
      </c>
      <c r="B132" s="141">
        <f>IF('CALCULADORA TIPS Pesos E-11'!$F$10="Contractual",ROUND('Tabla de Amortizacion'!B133,8),IF('CALCULADORA TIPS Pesos E-11'!$F$10="6% (Medio)",ROUND('Tabla de Amortizacion'!E133,8),IF('CALCULADORA TIPS Pesos E-11'!$F$10="10% (Medio Alto)",ROUND('Tabla de Amortizacion'!H133,8),IF('CALCULADORA TIPS Pesos E-11'!$F$10="14% (Alto)",ROUND('Tabla de Amortizacion'!K133,8),IF('CALCULADORA TIPS Pesos E-11'!$F$10=20%,ROUND('Tabla de Amortizacion'!N133,8),ROUND('Tabla de Amortizacion'!Q133,8))))))</f>
        <v>0</v>
      </c>
      <c r="C132" s="141">
        <f>IF('CALCULADORA TIPS Pesos E-11'!$F$10="Contractual",ROUND('Tabla de Amortizacion'!C133,8),IF('CALCULADORA TIPS Pesos E-11'!$F$10="6% (Medio)",ROUND('Tabla de Amortizacion'!F133,8),IF('CALCULADORA TIPS Pesos E-11'!$F$10="10% (Medio Alto)",ROUND('Tabla de Amortizacion'!I133,8),IF('CALCULADORA TIPS Pesos E-11'!$F$10="14% (Alto)",ROUND('Tabla de Amortizacion'!L133,8),IF('CALCULADORA TIPS Pesos E-11'!$F$10=20%,ROUND('Tabla de Amortizacion'!O133,8),ROUND('Tabla de Amortizacion'!R133,8))))))</f>
        <v>0</v>
      </c>
    </row>
    <row r="133" spans="1:3" ht="12.75">
      <c r="A133" s="140">
        <f t="shared" si="4"/>
        <v>43964</v>
      </c>
      <c r="B133" s="141">
        <f>IF('CALCULADORA TIPS Pesos E-11'!$F$10="Contractual",ROUND('Tabla de Amortizacion'!B134,8),IF('CALCULADORA TIPS Pesos E-11'!$F$10="6% (Medio)",ROUND('Tabla de Amortizacion'!E134,8),IF('CALCULADORA TIPS Pesos E-11'!$F$10="10% (Medio Alto)",ROUND('Tabla de Amortizacion'!H134,8),IF('CALCULADORA TIPS Pesos E-11'!$F$10="14% (Alto)",ROUND('Tabla de Amortizacion'!K134,8),IF('CALCULADORA TIPS Pesos E-11'!$F$10=20%,ROUND('Tabla de Amortizacion'!N134,8),ROUND('Tabla de Amortizacion'!Q134,8))))))</f>
        <v>0</v>
      </c>
      <c r="C133" s="141">
        <f>IF('CALCULADORA TIPS Pesos E-11'!$F$10="Contractual",ROUND('Tabla de Amortizacion'!C134,8),IF('CALCULADORA TIPS Pesos E-11'!$F$10="6% (Medio)",ROUND('Tabla de Amortizacion'!F134,8),IF('CALCULADORA TIPS Pesos E-11'!$F$10="10% (Medio Alto)",ROUND('Tabla de Amortizacion'!I134,8),IF('CALCULADORA TIPS Pesos E-11'!$F$10="14% (Alto)",ROUND('Tabla de Amortizacion'!L134,8),IF('CALCULADORA TIPS Pesos E-11'!$F$10=20%,ROUND('Tabla de Amortizacion'!O134,8),ROUND('Tabla de Amortizacion'!R134,8))))))</f>
        <v>0</v>
      </c>
    </row>
    <row r="134" spans="1:3" ht="12.75">
      <c r="A134" s="140">
        <f t="shared" si="4"/>
        <v>43995</v>
      </c>
      <c r="B134" s="141">
        <f>IF('CALCULADORA TIPS Pesos E-11'!$F$10="Contractual",ROUND('Tabla de Amortizacion'!B135,8),IF('CALCULADORA TIPS Pesos E-11'!$F$10="6% (Medio)",ROUND('Tabla de Amortizacion'!E135,8),IF('CALCULADORA TIPS Pesos E-11'!$F$10="10% (Medio Alto)",ROUND('Tabla de Amortizacion'!H135,8),IF('CALCULADORA TIPS Pesos E-11'!$F$10="14% (Alto)",ROUND('Tabla de Amortizacion'!K135,8),IF('CALCULADORA TIPS Pesos E-11'!$F$10=20%,ROUND('Tabla de Amortizacion'!N135,8),ROUND('Tabla de Amortizacion'!Q135,8))))))</f>
        <v>0</v>
      </c>
      <c r="C134" s="141">
        <f>IF('CALCULADORA TIPS Pesos E-11'!$F$10="Contractual",ROUND('Tabla de Amortizacion'!C135,8),IF('CALCULADORA TIPS Pesos E-11'!$F$10="6% (Medio)",ROUND('Tabla de Amortizacion'!F135,8),IF('CALCULADORA TIPS Pesos E-11'!$F$10="10% (Medio Alto)",ROUND('Tabla de Amortizacion'!I135,8),IF('CALCULADORA TIPS Pesos E-11'!$F$10="14% (Alto)",ROUND('Tabla de Amortizacion'!L135,8),IF('CALCULADORA TIPS Pesos E-11'!$F$10=20%,ROUND('Tabla de Amortizacion'!O135,8),ROUND('Tabla de Amortizacion'!R135,8))))))</f>
        <v>0</v>
      </c>
    </row>
    <row r="135" spans="1:3" ht="12.75">
      <c r="A135" s="140">
        <f t="shared" si="4"/>
        <v>44025</v>
      </c>
      <c r="B135" s="141">
        <f>IF('CALCULADORA TIPS Pesos E-11'!$F$10="Contractual",ROUND('Tabla de Amortizacion'!B136,8),IF('CALCULADORA TIPS Pesos E-11'!$F$10="6% (Medio)",ROUND('Tabla de Amortizacion'!E136,8),IF('CALCULADORA TIPS Pesos E-11'!$F$10="10% (Medio Alto)",ROUND('Tabla de Amortizacion'!H136,8),IF('CALCULADORA TIPS Pesos E-11'!$F$10="14% (Alto)",ROUND('Tabla de Amortizacion'!K136,8),IF('CALCULADORA TIPS Pesos E-11'!$F$10=20%,ROUND('Tabla de Amortizacion'!N136,8),ROUND('Tabla de Amortizacion'!Q136,8))))))</f>
        <v>0</v>
      </c>
      <c r="C135" s="141">
        <f>IF('CALCULADORA TIPS Pesos E-11'!$F$10="Contractual",ROUND('Tabla de Amortizacion'!C136,8),IF('CALCULADORA TIPS Pesos E-11'!$F$10="6% (Medio)",ROUND('Tabla de Amortizacion'!F136,8),IF('CALCULADORA TIPS Pesos E-11'!$F$10="10% (Medio Alto)",ROUND('Tabla de Amortizacion'!I136,8),IF('CALCULADORA TIPS Pesos E-11'!$F$10="14% (Alto)",ROUND('Tabla de Amortizacion'!L136,8),IF('CALCULADORA TIPS Pesos E-11'!$F$10=20%,ROUND('Tabla de Amortizacion'!O136,8),ROUND('Tabla de Amortizacion'!R136,8))))))</f>
        <v>0</v>
      </c>
    </row>
    <row r="136" spans="1:3" ht="12.75">
      <c r="A136" s="140">
        <f t="shared" si="4"/>
        <v>44056</v>
      </c>
      <c r="B136" s="141">
        <f>IF('CALCULADORA TIPS Pesos E-11'!$F$10="Contractual",ROUND('Tabla de Amortizacion'!B137,8),IF('CALCULADORA TIPS Pesos E-11'!$F$10="6% (Medio)",ROUND('Tabla de Amortizacion'!E137,8),IF('CALCULADORA TIPS Pesos E-11'!$F$10="10% (Medio Alto)",ROUND('Tabla de Amortizacion'!H137,8),IF('CALCULADORA TIPS Pesos E-11'!$F$10="14% (Alto)",ROUND('Tabla de Amortizacion'!K137,8),IF('CALCULADORA TIPS Pesos E-11'!$F$10=20%,ROUND('Tabla de Amortizacion'!N137,8),ROUND('Tabla de Amortizacion'!Q137,8))))))</f>
        <v>0</v>
      </c>
      <c r="C136" s="141">
        <f>IF('CALCULADORA TIPS Pesos E-11'!$F$10="Contractual",ROUND('Tabla de Amortizacion'!C137,8),IF('CALCULADORA TIPS Pesos E-11'!$F$10="6% (Medio)",ROUND('Tabla de Amortizacion'!F137,8),IF('CALCULADORA TIPS Pesos E-11'!$F$10="10% (Medio Alto)",ROUND('Tabla de Amortizacion'!I137,8),IF('CALCULADORA TIPS Pesos E-11'!$F$10="14% (Alto)",ROUND('Tabla de Amortizacion'!L137,8),IF('CALCULADORA TIPS Pesos E-11'!$F$10=20%,ROUND('Tabla de Amortizacion'!O137,8),ROUND('Tabla de Amortizacion'!R137,8))))))</f>
        <v>0</v>
      </c>
    </row>
    <row r="137" spans="1:3" ht="12.75">
      <c r="A137" s="140">
        <f t="shared" si="4"/>
        <v>44087</v>
      </c>
      <c r="B137" s="141">
        <f>IF('CALCULADORA TIPS Pesos E-11'!$F$10="Contractual",ROUND('Tabla de Amortizacion'!B138,8),IF('CALCULADORA TIPS Pesos E-11'!$F$10="6% (Medio)",ROUND('Tabla de Amortizacion'!E138,8),IF('CALCULADORA TIPS Pesos E-11'!$F$10="10% (Medio Alto)",ROUND('Tabla de Amortizacion'!H138,8),IF('CALCULADORA TIPS Pesos E-11'!$F$10="14% (Alto)",ROUND('Tabla de Amortizacion'!K138,8),IF('CALCULADORA TIPS Pesos E-11'!$F$10=20%,ROUND('Tabla de Amortizacion'!N138,8),ROUND('Tabla de Amortizacion'!Q138,8))))))</f>
        <v>0</v>
      </c>
      <c r="C137" s="141">
        <f>IF('CALCULADORA TIPS Pesos E-11'!$F$10="Contractual",ROUND('Tabla de Amortizacion'!C138,8),IF('CALCULADORA TIPS Pesos E-11'!$F$10="6% (Medio)",ROUND('Tabla de Amortizacion'!F138,8),IF('CALCULADORA TIPS Pesos E-11'!$F$10="10% (Medio Alto)",ROUND('Tabla de Amortizacion'!I138,8),IF('CALCULADORA TIPS Pesos E-11'!$F$10="14% (Alto)",ROUND('Tabla de Amortizacion'!L138,8),IF('CALCULADORA TIPS Pesos E-11'!$F$10=20%,ROUND('Tabla de Amortizacion'!O138,8),ROUND('Tabla de Amortizacion'!R138,8))))))</f>
        <v>0</v>
      </c>
    </row>
    <row r="138" spans="1:3" ht="12.75">
      <c r="A138" s="140">
        <f t="shared" si="4"/>
        <v>44117</v>
      </c>
      <c r="B138" s="141">
        <f>IF('CALCULADORA TIPS Pesos E-11'!$F$10="Contractual",ROUND('Tabla de Amortizacion'!B139,8),IF('CALCULADORA TIPS Pesos E-11'!$F$10="6% (Medio)",ROUND('Tabla de Amortizacion'!E139,8),IF('CALCULADORA TIPS Pesos E-11'!$F$10="10% (Medio Alto)",ROUND('Tabla de Amortizacion'!H139,8),IF('CALCULADORA TIPS Pesos E-11'!$F$10="14% (Alto)",ROUND('Tabla de Amortizacion'!K139,8),IF('CALCULADORA TIPS Pesos E-11'!$F$10=20%,ROUND('Tabla de Amortizacion'!N139,8),ROUND('Tabla de Amortizacion'!Q139,8))))))</f>
        <v>0</v>
      </c>
      <c r="C138" s="141">
        <f>IF('CALCULADORA TIPS Pesos E-11'!$F$10="Contractual",ROUND('Tabla de Amortizacion'!C139,8),IF('CALCULADORA TIPS Pesos E-11'!$F$10="6% (Medio)",ROUND('Tabla de Amortizacion'!F139,8),IF('CALCULADORA TIPS Pesos E-11'!$F$10="10% (Medio Alto)",ROUND('Tabla de Amortizacion'!I139,8),IF('CALCULADORA TIPS Pesos E-11'!$F$10="14% (Alto)",ROUND('Tabla de Amortizacion'!L139,8),IF('CALCULADORA TIPS Pesos E-11'!$F$10=20%,ROUND('Tabla de Amortizacion'!O139,8),ROUND('Tabla de Amortizacion'!R139,8))))))</f>
        <v>0</v>
      </c>
    </row>
    <row r="139" spans="1:3" ht="12.75">
      <c r="A139" s="140">
        <f t="shared" si="4"/>
        <v>44148</v>
      </c>
      <c r="B139" s="141">
        <f>IF('CALCULADORA TIPS Pesos E-11'!$F$10="Contractual",ROUND('Tabla de Amortizacion'!B140,8),IF('CALCULADORA TIPS Pesos E-11'!$F$10="6% (Medio)",ROUND('Tabla de Amortizacion'!E140,8),IF('CALCULADORA TIPS Pesos E-11'!$F$10="10% (Medio Alto)",ROUND('Tabla de Amortizacion'!H140,8),IF('CALCULADORA TIPS Pesos E-11'!$F$10="14% (Alto)",ROUND('Tabla de Amortizacion'!K140,8),IF('CALCULADORA TIPS Pesos E-11'!$F$10=20%,ROUND('Tabla de Amortizacion'!N140,8),ROUND('Tabla de Amortizacion'!Q140,8))))))</f>
        <v>0</v>
      </c>
      <c r="C139" s="141">
        <f>IF('CALCULADORA TIPS Pesos E-11'!$F$10="Contractual",ROUND('Tabla de Amortizacion'!C140,8),IF('CALCULADORA TIPS Pesos E-11'!$F$10="6% (Medio)",ROUND('Tabla de Amortizacion'!F140,8),IF('CALCULADORA TIPS Pesos E-11'!$F$10="10% (Medio Alto)",ROUND('Tabla de Amortizacion'!I140,8),IF('CALCULADORA TIPS Pesos E-11'!$F$10="14% (Alto)",ROUND('Tabla de Amortizacion'!L140,8),IF('CALCULADORA TIPS Pesos E-11'!$F$10=20%,ROUND('Tabla de Amortizacion'!O140,8),ROUND('Tabla de Amortizacion'!R140,8))))))</f>
        <v>0</v>
      </c>
    </row>
    <row r="140" spans="1:3" ht="12.75">
      <c r="A140" s="140">
        <f t="shared" si="4"/>
        <v>44178</v>
      </c>
      <c r="B140" s="141">
        <f>IF('CALCULADORA TIPS Pesos E-11'!$F$10="Contractual",ROUND('Tabla de Amortizacion'!B141,8),IF('CALCULADORA TIPS Pesos E-11'!$F$10="6% (Medio)",ROUND('Tabla de Amortizacion'!E141,8),IF('CALCULADORA TIPS Pesos E-11'!$F$10="10% (Medio Alto)",ROUND('Tabla de Amortizacion'!H141,8),IF('CALCULADORA TIPS Pesos E-11'!$F$10="14% (Alto)",ROUND('Tabla de Amortizacion'!K141,8),IF('CALCULADORA TIPS Pesos E-11'!$F$10=20%,ROUND('Tabla de Amortizacion'!N141,8),ROUND('Tabla de Amortizacion'!Q141,8))))))</f>
        <v>0</v>
      </c>
      <c r="C140" s="141">
        <f>IF('CALCULADORA TIPS Pesos E-11'!$F$10="Contractual",ROUND('Tabla de Amortizacion'!C141,8),IF('CALCULADORA TIPS Pesos E-11'!$F$10="6% (Medio)",ROUND('Tabla de Amortizacion'!F141,8),IF('CALCULADORA TIPS Pesos E-11'!$F$10="10% (Medio Alto)",ROUND('Tabla de Amortizacion'!I141,8),IF('CALCULADORA TIPS Pesos E-11'!$F$10="14% (Alto)",ROUND('Tabla de Amortizacion'!L141,8),IF('CALCULADORA TIPS Pesos E-11'!$F$10=20%,ROUND('Tabla de Amortizacion'!O141,8),ROUND('Tabla de Amortizacion'!R141,8))))))</f>
        <v>0</v>
      </c>
    </row>
    <row r="141" spans="1:3" ht="12.75">
      <c r="A141" s="140">
        <f t="shared" si="4"/>
        <v>44209</v>
      </c>
      <c r="B141" s="141">
        <f>IF('CALCULADORA TIPS Pesos E-11'!$F$10="Contractual",ROUND('Tabla de Amortizacion'!B142,8),IF('CALCULADORA TIPS Pesos E-11'!$F$10="6% (Medio)",ROUND('Tabla de Amortizacion'!E142,8),IF('CALCULADORA TIPS Pesos E-11'!$F$10="10% (Medio Alto)",ROUND('Tabla de Amortizacion'!H142,8),IF('CALCULADORA TIPS Pesos E-11'!$F$10="14% (Alto)",ROUND('Tabla de Amortizacion'!K142,8),IF('CALCULADORA TIPS Pesos E-11'!$F$10=20%,ROUND('Tabla de Amortizacion'!N142,8),ROUND('Tabla de Amortizacion'!Q142,8))))))</f>
        <v>0</v>
      </c>
      <c r="C141" s="141">
        <f>IF('CALCULADORA TIPS Pesos E-11'!$F$10="Contractual",ROUND('Tabla de Amortizacion'!C142,8),IF('CALCULADORA TIPS Pesos E-11'!$F$10="6% (Medio)",ROUND('Tabla de Amortizacion'!F142,8),IF('CALCULADORA TIPS Pesos E-11'!$F$10="10% (Medio Alto)",ROUND('Tabla de Amortizacion'!I142,8),IF('CALCULADORA TIPS Pesos E-11'!$F$10="14% (Alto)",ROUND('Tabla de Amortizacion'!L142,8),IF('CALCULADORA TIPS Pesos E-11'!$F$10=20%,ROUND('Tabla de Amortizacion'!O142,8),ROUND('Tabla de Amortizacion'!R142,8))))))</f>
        <v>0</v>
      </c>
    </row>
    <row r="142" spans="1:3" ht="12.75">
      <c r="A142" s="140">
        <f t="shared" si="4"/>
        <v>44240</v>
      </c>
      <c r="B142" s="141">
        <f>IF('CALCULADORA TIPS Pesos E-11'!$F$10="Contractual",ROUND('Tabla de Amortizacion'!B143,8),IF('CALCULADORA TIPS Pesos E-11'!$F$10="6% (Medio)",ROUND('Tabla de Amortizacion'!E143,8),IF('CALCULADORA TIPS Pesos E-11'!$F$10="10% (Medio Alto)",ROUND('Tabla de Amortizacion'!H143,8),IF('CALCULADORA TIPS Pesos E-11'!$F$10="14% (Alto)",ROUND('Tabla de Amortizacion'!K143,8),IF('CALCULADORA TIPS Pesos E-11'!$F$10=20%,ROUND('Tabla de Amortizacion'!N143,8),ROUND('Tabla de Amortizacion'!Q143,8))))))</f>
        <v>0</v>
      </c>
      <c r="C142" s="141">
        <f>IF('CALCULADORA TIPS Pesos E-11'!$F$10="Contractual",ROUND('Tabla de Amortizacion'!C143,8),IF('CALCULADORA TIPS Pesos E-11'!$F$10="6% (Medio)",ROUND('Tabla de Amortizacion'!F143,8),IF('CALCULADORA TIPS Pesos E-11'!$F$10="10% (Medio Alto)",ROUND('Tabla de Amortizacion'!I143,8),IF('CALCULADORA TIPS Pesos E-11'!$F$10="14% (Alto)",ROUND('Tabla de Amortizacion'!L143,8),IF('CALCULADORA TIPS Pesos E-11'!$F$10=20%,ROUND('Tabla de Amortizacion'!O143,8),ROUND('Tabla de Amortizacion'!R143,8))))))</f>
        <v>0</v>
      </c>
    </row>
    <row r="143" spans="1:3" ht="12.75">
      <c r="A143" s="140">
        <f t="shared" si="4"/>
        <v>44268</v>
      </c>
      <c r="B143" s="141">
        <f>IF('CALCULADORA TIPS Pesos E-11'!$F$10="Contractual",ROUND('Tabla de Amortizacion'!B144,8),IF('CALCULADORA TIPS Pesos E-11'!$F$10="6% (Medio)",ROUND('Tabla de Amortizacion'!E144,8),IF('CALCULADORA TIPS Pesos E-11'!$F$10="10% (Medio Alto)",ROUND('Tabla de Amortizacion'!H144,8),IF('CALCULADORA TIPS Pesos E-11'!$F$10="14% (Alto)",ROUND('Tabla de Amortizacion'!K144,8),IF('CALCULADORA TIPS Pesos E-11'!$F$10=20%,ROUND('Tabla de Amortizacion'!N144,8),ROUND('Tabla de Amortizacion'!Q144,8))))))</f>
        <v>0</v>
      </c>
      <c r="C143" s="141">
        <f>IF('CALCULADORA TIPS Pesos E-11'!$F$10="Contractual",ROUND('Tabla de Amortizacion'!C144,8),IF('CALCULADORA TIPS Pesos E-11'!$F$10="6% (Medio)",ROUND('Tabla de Amortizacion'!F144,8),IF('CALCULADORA TIPS Pesos E-11'!$F$10="10% (Medio Alto)",ROUND('Tabla de Amortizacion'!I144,8),IF('CALCULADORA TIPS Pesos E-11'!$F$10="14% (Alto)",ROUND('Tabla de Amortizacion'!L144,8),IF('CALCULADORA TIPS Pesos E-11'!$F$10=20%,ROUND('Tabla de Amortizacion'!O144,8),ROUND('Tabla de Amortizacion'!R144,8))))))</f>
        <v>0</v>
      </c>
    </row>
    <row r="144" spans="1:3" ht="12.75">
      <c r="A144" s="140">
        <f t="shared" si="4"/>
        <v>44299</v>
      </c>
      <c r="B144" s="141">
        <f>IF('CALCULADORA TIPS Pesos E-11'!$F$10="Contractual",ROUND('Tabla de Amortizacion'!B145,8),IF('CALCULADORA TIPS Pesos E-11'!$F$10="6% (Medio)",ROUND('Tabla de Amortizacion'!E145,8),IF('CALCULADORA TIPS Pesos E-11'!$F$10="10% (Medio Alto)",ROUND('Tabla de Amortizacion'!H145,8),IF('CALCULADORA TIPS Pesos E-11'!$F$10="14% (Alto)",ROUND('Tabla de Amortizacion'!K145,8),IF('CALCULADORA TIPS Pesos E-11'!$F$10=20%,ROUND('Tabla de Amortizacion'!N145,8),ROUND('Tabla de Amortizacion'!Q145,8))))))</f>
        <v>0</v>
      </c>
      <c r="C144" s="141">
        <f>IF('CALCULADORA TIPS Pesos E-11'!$F$10="Contractual",ROUND('Tabla de Amortizacion'!C145,8),IF('CALCULADORA TIPS Pesos E-11'!$F$10="6% (Medio)",ROUND('Tabla de Amortizacion'!F145,8),IF('CALCULADORA TIPS Pesos E-11'!$F$10="10% (Medio Alto)",ROUND('Tabla de Amortizacion'!I145,8),IF('CALCULADORA TIPS Pesos E-11'!$F$10="14% (Alto)",ROUND('Tabla de Amortizacion'!L145,8),IF('CALCULADORA TIPS Pesos E-11'!$F$10=20%,ROUND('Tabla de Amortizacion'!O145,8),ROUND('Tabla de Amortizacion'!R145,8))))))</f>
        <v>0</v>
      </c>
    </row>
    <row r="145" spans="1:3" ht="12.75">
      <c r="A145" s="140">
        <f t="shared" si="4"/>
        <v>44329</v>
      </c>
      <c r="B145" s="141">
        <f>IF('CALCULADORA TIPS Pesos E-11'!$F$10="Contractual",ROUND('Tabla de Amortizacion'!B146,8),IF('CALCULADORA TIPS Pesos E-11'!$F$10="6% (Medio)",ROUND('Tabla de Amortizacion'!E146,8),IF('CALCULADORA TIPS Pesos E-11'!$F$10="10% (Medio Alto)",ROUND('Tabla de Amortizacion'!H146,8),IF('CALCULADORA TIPS Pesos E-11'!$F$10="14% (Alto)",ROUND('Tabla de Amortizacion'!K146,8),IF('CALCULADORA TIPS Pesos E-11'!$F$10=20%,ROUND('Tabla de Amortizacion'!N146,8),ROUND('Tabla de Amortizacion'!Q146,8))))))</f>
        <v>0</v>
      </c>
      <c r="C145" s="141">
        <f>IF('CALCULADORA TIPS Pesos E-11'!$F$10="Contractual",ROUND('Tabla de Amortizacion'!C146,8),IF('CALCULADORA TIPS Pesos E-11'!$F$10="6% (Medio)",ROUND('Tabla de Amortizacion'!F146,8),IF('CALCULADORA TIPS Pesos E-11'!$F$10="10% (Medio Alto)",ROUND('Tabla de Amortizacion'!I146,8),IF('CALCULADORA TIPS Pesos E-11'!$F$10="14% (Alto)",ROUND('Tabla de Amortizacion'!L146,8),IF('CALCULADORA TIPS Pesos E-11'!$F$10=20%,ROUND('Tabla de Amortizacion'!O146,8),ROUND('Tabla de Amortizacion'!R146,8))))))</f>
        <v>0</v>
      </c>
    </row>
    <row r="146" spans="1:3" ht="12.75">
      <c r="A146" s="140">
        <f t="shared" si="4"/>
        <v>44360</v>
      </c>
      <c r="B146" s="141">
        <f>IF('CALCULADORA TIPS Pesos E-11'!$F$10="Contractual",ROUND('Tabla de Amortizacion'!B147,8),IF('CALCULADORA TIPS Pesos E-11'!$F$10="6% (Medio)",ROUND('Tabla de Amortizacion'!E147,8),IF('CALCULADORA TIPS Pesos E-11'!$F$10="10% (Medio Alto)",ROUND('Tabla de Amortizacion'!H147,8),IF('CALCULADORA TIPS Pesos E-11'!$F$10="14% (Alto)",ROUND('Tabla de Amortizacion'!K147,8),IF('CALCULADORA TIPS Pesos E-11'!$F$10=20%,ROUND('Tabla de Amortizacion'!N147,8),ROUND('Tabla de Amortizacion'!Q147,8))))))</f>
        <v>0</v>
      </c>
      <c r="C146" s="141">
        <f>IF('CALCULADORA TIPS Pesos E-11'!$F$10="Contractual",ROUND('Tabla de Amortizacion'!C147,8),IF('CALCULADORA TIPS Pesos E-11'!$F$10="6% (Medio)",ROUND('Tabla de Amortizacion'!F147,8),IF('CALCULADORA TIPS Pesos E-11'!$F$10="10% (Medio Alto)",ROUND('Tabla de Amortizacion'!I147,8),IF('CALCULADORA TIPS Pesos E-11'!$F$10="14% (Alto)",ROUND('Tabla de Amortizacion'!L147,8),IF('CALCULADORA TIPS Pesos E-11'!$F$10=20%,ROUND('Tabla de Amortizacion'!O147,8),ROUND('Tabla de Amortizacion'!R147,8))))))</f>
        <v>0</v>
      </c>
    </row>
    <row r="147" spans="1:3" ht="12.75">
      <c r="A147" s="140">
        <f t="shared" si="4"/>
        <v>44390</v>
      </c>
      <c r="B147" s="141">
        <f>IF('CALCULADORA TIPS Pesos E-11'!$F$10="Contractual",ROUND('Tabla de Amortizacion'!B148,8),IF('CALCULADORA TIPS Pesos E-11'!$F$10="6% (Medio)",ROUND('Tabla de Amortizacion'!E148,8),IF('CALCULADORA TIPS Pesos E-11'!$F$10="10% (Medio Alto)",ROUND('Tabla de Amortizacion'!H148,8),IF('CALCULADORA TIPS Pesos E-11'!$F$10="14% (Alto)",ROUND('Tabla de Amortizacion'!K148,8),IF('CALCULADORA TIPS Pesos E-11'!$F$10=20%,ROUND('Tabla de Amortizacion'!N148,8),ROUND('Tabla de Amortizacion'!Q148,8))))))</f>
        <v>0</v>
      </c>
      <c r="C147" s="141">
        <f>IF('CALCULADORA TIPS Pesos E-11'!$F$10="Contractual",ROUND('Tabla de Amortizacion'!C148,8),IF('CALCULADORA TIPS Pesos E-11'!$F$10="6% (Medio)",ROUND('Tabla de Amortizacion'!F148,8),IF('CALCULADORA TIPS Pesos E-11'!$F$10="10% (Medio Alto)",ROUND('Tabla de Amortizacion'!I148,8),IF('CALCULADORA TIPS Pesos E-11'!$F$10="14% (Alto)",ROUND('Tabla de Amortizacion'!L148,8),IF('CALCULADORA TIPS Pesos E-11'!$F$10=20%,ROUND('Tabla de Amortizacion'!O148,8),ROUND('Tabla de Amortizacion'!R148,8))))))</f>
        <v>0</v>
      </c>
    </row>
    <row r="148" spans="1:3" ht="12.75">
      <c r="A148" s="140">
        <f t="shared" si="4"/>
        <v>44421</v>
      </c>
      <c r="B148" s="141">
        <f>IF('CALCULADORA TIPS Pesos E-11'!$F$10="Contractual",ROUND('Tabla de Amortizacion'!B149,8),IF('CALCULADORA TIPS Pesos E-11'!$F$10="6% (Medio)",ROUND('Tabla de Amortizacion'!E149,8),IF('CALCULADORA TIPS Pesos E-11'!$F$10="10% (Medio Alto)",ROUND('Tabla de Amortizacion'!H149,8),IF('CALCULADORA TIPS Pesos E-11'!$F$10="14% (Alto)",ROUND('Tabla de Amortizacion'!K149,8),IF('CALCULADORA TIPS Pesos E-11'!$F$10=20%,ROUND('Tabla de Amortizacion'!N149,8),ROUND('Tabla de Amortizacion'!Q149,8))))))</f>
        <v>0</v>
      </c>
      <c r="C148" s="141">
        <f>IF('CALCULADORA TIPS Pesos E-11'!$F$10="Contractual",ROUND('Tabla de Amortizacion'!C149,8),IF('CALCULADORA TIPS Pesos E-11'!$F$10="6% (Medio)",ROUND('Tabla de Amortizacion'!F149,8),IF('CALCULADORA TIPS Pesos E-11'!$F$10="10% (Medio Alto)",ROUND('Tabla de Amortizacion'!I149,8),IF('CALCULADORA TIPS Pesos E-11'!$F$10="14% (Alto)",ROUND('Tabla de Amortizacion'!L149,8),IF('CALCULADORA TIPS Pesos E-11'!$F$10=20%,ROUND('Tabla de Amortizacion'!O149,8),ROUND('Tabla de Amortizacion'!R149,8))))))</f>
        <v>0</v>
      </c>
    </row>
    <row r="149" spans="1:3" ht="12.75">
      <c r="A149" s="140">
        <f t="shared" si="4"/>
        <v>44452</v>
      </c>
      <c r="B149" s="141">
        <f>IF('CALCULADORA TIPS Pesos E-11'!$F$10="Contractual",ROUND('Tabla de Amortizacion'!B150,8),IF('CALCULADORA TIPS Pesos E-11'!$F$10="6% (Medio)",ROUND('Tabla de Amortizacion'!E150,8),IF('CALCULADORA TIPS Pesos E-11'!$F$10="10% (Medio Alto)",ROUND('Tabla de Amortizacion'!H150,8),IF('CALCULADORA TIPS Pesos E-11'!$F$10="14% (Alto)",ROUND('Tabla de Amortizacion'!K150,8),IF('CALCULADORA TIPS Pesos E-11'!$F$10=20%,ROUND('Tabla de Amortizacion'!N150,8),ROUND('Tabla de Amortizacion'!Q150,8))))))</f>
        <v>0</v>
      </c>
      <c r="C149" s="141">
        <f>IF('CALCULADORA TIPS Pesos E-11'!$F$10="Contractual",ROUND('Tabla de Amortizacion'!C150,8),IF('CALCULADORA TIPS Pesos E-11'!$F$10="6% (Medio)",ROUND('Tabla de Amortizacion'!F150,8),IF('CALCULADORA TIPS Pesos E-11'!$F$10="10% (Medio Alto)",ROUND('Tabla de Amortizacion'!I150,8),IF('CALCULADORA TIPS Pesos E-11'!$F$10="14% (Alto)",ROUND('Tabla de Amortizacion'!L150,8),IF('CALCULADORA TIPS Pesos E-11'!$F$10=20%,ROUND('Tabla de Amortizacion'!O150,8),ROUND('Tabla de Amortizacion'!R150,8))))))</f>
        <v>0</v>
      </c>
    </row>
    <row r="150" spans="1:3" ht="12.75">
      <c r="A150" s="140">
        <f t="shared" si="4"/>
        <v>44482</v>
      </c>
      <c r="B150" s="141">
        <f>IF('CALCULADORA TIPS Pesos E-11'!$F$10="Contractual",ROUND('Tabla de Amortizacion'!B151,8),IF('CALCULADORA TIPS Pesos E-11'!$F$10="6% (Medio)",ROUND('Tabla de Amortizacion'!E151,8),IF('CALCULADORA TIPS Pesos E-11'!$F$10="10% (Medio Alto)",ROUND('Tabla de Amortizacion'!H151,8),IF('CALCULADORA TIPS Pesos E-11'!$F$10="14% (Alto)",ROUND('Tabla de Amortizacion'!K151,8),IF('CALCULADORA TIPS Pesos E-11'!$F$10=20%,ROUND('Tabla de Amortizacion'!N151,8),ROUND('Tabla de Amortizacion'!Q151,8))))))</f>
        <v>0</v>
      </c>
      <c r="C150" s="141">
        <f>IF('CALCULADORA TIPS Pesos E-11'!$F$10="Contractual",ROUND('Tabla de Amortizacion'!C151,8),IF('CALCULADORA TIPS Pesos E-11'!$F$10="6% (Medio)",ROUND('Tabla de Amortizacion'!F151,8),IF('CALCULADORA TIPS Pesos E-11'!$F$10="10% (Medio Alto)",ROUND('Tabla de Amortizacion'!I151,8),IF('CALCULADORA TIPS Pesos E-11'!$F$10="14% (Alto)",ROUND('Tabla de Amortizacion'!L151,8),IF('CALCULADORA TIPS Pesos E-11'!$F$10=20%,ROUND('Tabla de Amortizacion'!O151,8),ROUND('Tabla de Amortizacion'!R151,8))))))</f>
        <v>0</v>
      </c>
    </row>
    <row r="151" spans="1:3" ht="12.75">
      <c r="A151" s="140">
        <f t="shared" si="4"/>
        <v>44513</v>
      </c>
      <c r="B151" s="141">
        <f>IF('CALCULADORA TIPS Pesos E-11'!$F$10="Contractual",ROUND('Tabla de Amortizacion'!B152,8),IF('CALCULADORA TIPS Pesos E-11'!$F$10="6% (Medio)",ROUND('Tabla de Amortizacion'!E152,8),IF('CALCULADORA TIPS Pesos E-11'!$F$10="10% (Medio Alto)",ROUND('Tabla de Amortizacion'!H152,8),IF('CALCULADORA TIPS Pesos E-11'!$F$10="14% (Alto)",ROUND('Tabla de Amortizacion'!K152,8),IF('CALCULADORA TIPS Pesos E-11'!$F$10=20%,ROUND('Tabla de Amortizacion'!N152,8),ROUND('Tabla de Amortizacion'!Q152,8))))))</f>
        <v>0</v>
      </c>
      <c r="C151" s="141">
        <f>IF('CALCULADORA TIPS Pesos E-11'!$F$10="Contractual",ROUND('Tabla de Amortizacion'!C152,8),IF('CALCULADORA TIPS Pesos E-11'!$F$10="6% (Medio)",ROUND('Tabla de Amortizacion'!F152,8),IF('CALCULADORA TIPS Pesos E-11'!$F$10="10% (Medio Alto)",ROUND('Tabla de Amortizacion'!I152,8),IF('CALCULADORA TIPS Pesos E-11'!$F$10="14% (Alto)",ROUND('Tabla de Amortizacion'!L152,8),IF('CALCULADORA TIPS Pesos E-11'!$F$10=20%,ROUND('Tabla de Amortizacion'!O152,8),ROUND('Tabla de Amortizacion'!R152,8))))))</f>
        <v>0</v>
      </c>
    </row>
    <row r="152" spans="1:3" ht="12.75">
      <c r="A152" s="140">
        <f t="shared" si="4"/>
        <v>44543</v>
      </c>
      <c r="B152" s="141">
        <f>IF('CALCULADORA TIPS Pesos E-11'!$F$10="Contractual",ROUND('Tabla de Amortizacion'!B153,8),IF('CALCULADORA TIPS Pesos E-11'!$F$10="6% (Medio)",ROUND('Tabla de Amortizacion'!E153,8),IF('CALCULADORA TIPS Pesos E-11'!$F$10="10% (Medio Alto)",ROUND('Tabla de Amortizacion'!H153,8),IF('CALCULADORA TIPS Pesos E-11'!$F$10="14% (Alto)",ROUND('Tabla de Amortizacion'!K153,8),IF('CALCULADORA TIPS Pesos E-11'!$F$10=20%,ROUND('Tabla de Amortizacion'!N153,8),ROUND('Tabla de Amortizacion'!Q153,8))))))</f>
        <v>0</v>
      </c>
      <c r="C152" s="141">
        <f>IF('CALCULADORA TIPS Pesos E-11'!$F$10="Contractual",ROUND('Tabla de Amortizacion'!C153,8),IF('CALCULADORA TIPS Pesos E-11'!$F$10="6% (Medio)",ROUND('Tabla de Amortizacion'!F153,8),IF('CALCULADORA TIPS Pesos E-11'!$F$10="10% (Medio Alto)",ROUND('Tabla de Amortizacion'!I153,8),IF('CALCULADORA TIPS Pesos E-11'!$F$10="14% (Alto)",ROUND('Tabla de Amortizacion'!L153,8),IF('CALCULADORA TIPS Pesos E-11'!$F$10=20%,ROUND('Tabla de Amortizacion'!O153,8),ROUND('Tabla de Amortizacion'!R153,8))))))</f>
        <v>0</v>
      </c>
    </row>
    <row r="153" spans="1:3" ht="12.75">
      <c r="A153" s="140">
        <f t="shared" si="4"/>
        <v>44574</v>
      </c>
      <c r="B153" s="141">
        <f>IF('CALCULADORA TIPS Pesos E-11'!$F$10="Contractual",ROUND('Tabla de Amortizacion'!B154,8),IF('CALCULADORA TIPS Pesos E-11'!$F$10="6% (Medio)",ROUND('Tabla de Amortizacion'!E154,8),IF('CALCULADORA TIPS Pesos E-11'!$F$10="10% (Medio Alto)",ROUND('Tabla de Amortizacion'!H154,8),IF('CALCULADORA TIPS Pesos E-11'!$F$10="14% (Alto)",ROUND('Tabla de Amortizacion'!K154,8),IF('CALCULADORA TIPS Pesos E-11'!$F$10=20%,ROUND('Tabla de Amortizacion'!N154,8),ROUND('Tabla de Amortizacion'!Q154,8))))))</f>
        <v>0</v>
      </c>
      <c r="C153" s="141">
        <f>IF('CALCULADORA TIPS Pesos E-11'!$F$10="Contractual",ROUND('Tabla de Amortizacion'!C154,8),IF('CALCULADORA TIPS Pesos E-11'!$F$10="6% (Medio)",ROUND('Tabla de Amortizacion'!F154,8),IF('CALCULADORA TIPS Pesos E-11'!$F$10="10% (Medio Alto)",ROUND('Tabla de Amortizacion'!I154,8),IF('CALCULADORA TIPS Pesos E-11'!$F$10="14% (Alto)",ROUND('Tabla de Amortizacion'!L154,8),IF('CALCULADORA TIPS Pesos E-11'!$F$10=20%,ROUND('Tabla de Amortizacion'!O154,8),ROUND('Tabla de Amortizacion'!R154,8))))))</f>
        <v>0</v>
      </c>
    </row>
    <row r="154" spans="1:3" ht="12.75">
      <c r="A154" s="140">
        <f t="shared" si="4"/>
        <v>44605</v>
      </c>
      <c r="B154" s="141">
        <f>IF('CALCULADORA TIPS Pesos E-11'!$F$10="Contractual",ROUND('Tabla de Amortizacion'!B155,8),IF('CALCULADORA TIPS Pesos E-11'!$F$10="6% (Medio)",ROUND('Tabla de Amortizacion'!E155,8),IF('CALCULADORA TIPS Pesos E-11'!$F$10="10% (Medio Alto)",ROUND('Tabla de Amortizacion'!H155,8),IF('CALCULADORA TIPS Pesos E-11'!$F$10="14% (Alto)",ROUND('Tabla de Amortizacion'!K155,8),IF('CALCULADORA TIPS Pesos E-11'!$F$10=20%,ROUND('Tabla de Amortizacion'!N155,8),ROUND('Tabla de Amortizacion'!Q155,8))))))</f>
        <v>0</v>
      </c>
      <c r="C154" s="141">
        <f>IF('CALCULADORA TIPS Pesos E-11'!$F$10="Contractual",ROUND('Tabla de Amortizacion'!C155,8),IF('CALCULADORA TIPS Pesos E-11'!$F$10="6% (Medio)",ROUND('Tabla de Amortizacion'!F155,8),IF('CALCULADORA TIPS Pesos E-11'!$F$10="10% (Medio Alto)",ROUND('Tabla de Amortizacion'!I155,8),IF('CALCULADORA TIPS Pesos E-11'!$F$10="14% (Alto)",ROUND('Tabla de Amortizacion'!L155,8),IF('CALCULADORA TIPS Pesos E-11'!$F$10=20%,ROUND('Tabla de Amortizacion'!O155,8),ROUND('Tabla de Amortizacion'!R155,8))))))</f>
        <v>0</v>
      </c>
    </row>
    <row r="155" spans="1:3" ht="12.75">
      <c r="A155" s="140">
        <f t="shared" si="4"/>
        <v>44633</v>
      </c>
      <c r="B155" s="141">
        <f>IF('CALCULADORA TIPS Pesos E-11'!$F$10="Contractual",ROUND('Tabla de Amortizacion'!B156,8),IF('CALCULADORA TIPS Pesos E-11'!$F$10="6% (Medio)",ROUND('Tabla de Amortizacion'!E156,8),IF('CALCULADORA TIPS Pesos E-11'!$F$10="10% (Medio Alto)",ROUND('Tabla de Amortizacion'!H156,8),IF('CALCULADORA TIPS Pesos E-11'!$F$10="14% (Alto)",ROUND('Tabla de Amortizacion'!K156,8),IF('CALCULADORA TIPS Pesos E-11'!$F$10=20%,ROUND('Tabla de Amortizacion'!N156,8),ROUND('Tabla de Amortizacion'!Q156,8))))))</f>
        <v>0</v>
      </c>
      <c r="C155" s="141">
        <f>IF('CALCULADORA TIPS Pesos E-11'!$F$10="Contractual",ROUND('Tabla de Amortizacion'!C156,8),IF('CALCULADORA TIPS Pesos E-11'!$F$10="6% (Medio)",ROUND('Tabla de Amortizacion'!F156,8),IF('CALCULADORA TIPS Pesos E-11'!$F$10="10% (Medio Alto)",ROUND('Tabla de Amortizacion'!I156,8),IF('CALCULADORA TIPS Pesos E-11'!$F$10="14% (Alto)",ROUND('Tabla de Amortizacion'!L156,8),IF('CALCULADORA TIPS Pesos E-11'!$F$10=20%,ROUND('Tabla de Amortizacion'!O156,8),ROUND('Tabla de Amortizacion'!R156,8))))))</f>
        <v>0</v>
      </c>
    </row>
    <row r="156" spans="1:3" ht="12.75">
      <c r="A156" s="140">
        <f t="shared" si="4"/>
        <v>44664</v>
      </c>
      <c r="B156" s="141">
        <f>IF('CALCULADORA TIPS Pesos E-11'!$F$10="Contractual",ROUND('Tabla de Amortizacion'!B157,8),IF('CALCULADORA TIPS Pesos E-11'!$F$10="6% (Medio)",ROUND('Tabla de Amortizacion'!E157,8),IF('CALCULADORA TIPS Pesos E-11'!$F$10="10% (Medio Alto)",ROUND('Tabla de Amortizacion'!H157,8),IF('CALCULADORA TIPS Pesos E-11'!$F$10="14% (Alto)",ROUND('Tabla de Amortizacion'!K157,8),IF('CALCULADORA TIPS Pesos E-11'!$F$10=20%,ROUND('Tabla de Amortizacion'!N157,8),ROUND('Tabla de Amortizacion'!Q157,8))))))</f>
        <v>0</v>
      </c>
      <c r="C156" s="141">
        <f>IF('CALCULADORA TIPS Pesos E-11'!$F$10="Contractual",ROUND('Tabla de Amortizacion'!C157,8),IF('CALCULADORA TIPS Pesos E-11'!$F$10="6% (Medio)",ROUND('Tabla de Amortizacion'!F157,8),IF('CALCULADORA TIPS Pesos E-11'!$F$10="10% (Medio Alto)",ROUND('Tabla de Amortizacion'!I157,8),IF('CALCULADORA TIPS Pesos E-11'!$F$10="14% (Alto)",ROUND('Tabla de Amortizacion'!L157,8),IF('CALCULADORA TIPS Pesos E-11'!$F$10=20%,ROUND('Tabla de Amortizacion'!O157,8),ROUND('Tabla de Amortizacion'!R157,8))))))</f>
        <v>0</v>
      </c>
    </row>
    <row r="157" spans="1:3" ht="12.75">
      <c r="A157" s="140">
        <f t="shared" si="4"/>
        <v>44694</v>
      </c>
      <c r="B157" s="141">
        <f>IF('CALCULADORA TIPS Pesos E-11'!$F$10="Contractual",ROUND('Tabla de Amortizacion'!B158,8),IF('CALCULADORA TIPS Pesos E-11'!$F$10="6% (Medio)",ROUND('Tabla de Amortizacion'!E158,8),IF('CALCULADORA TIPS Pesos E-11'!$F$10="10% (Medio Alto)",ROUND('Tabla de Amortizacion'!H158,8),IF('CALCULADORA TIPS Pesos E-11'!$F$10="14% (Alto)",ROUND('Tabla de Amortizacion'!K158,8),IF('CALCULADORA TIPS Pesos E-11'!$F$10=20%,ROUND('Tabla de Amortizacion'!N158,8),ROUND('Tabla de Amortizacion'!Q158,8))))))</f>
        <v>0</v>
      </c>
      <c r="C157" s="141">
        <f>IF('CALCULADORA TIPS Pesos E-11'!$F$10="Contractual",ROUND('Tabla de Amortizacion'!C158,8),IF('CALCULADORA TIPS Pesos E-11'!$F$10="6% (Medio)",ROUND('Tabla de Amortizacion'!F158,8),IF('CALCULADORA TIPS Pesos E-11'!$F$10="10% (Medio Alto)",ROUND('Tabla de Amortizacion'!I158,8),IF('CALCULADORA TIPS Pesos E-11'!$F$10="14% (Alto)",ROUND('Tabla de Amortizacion'!L158,8),IF('CALCULADORA TIPS Pesos E-11'!$F$10=20%,ROUND('Tabla de Amortizacion'!O158,8),ROUND('Tabla de Amortizacion'!R158,8))))))</f>
        <v>0</v>
      </c>
    </row>
    <row r="158" spans="1:3" ht="12.75">
      <c r="A158" s="140">
        <f t="shared" si="4"/>
        <v>44725</v>
      </c>
      <c r="B158" s="141">
        <f>IF('CALCULADORA TIPS Pesos E-11'!$F$10="Contractual",ROUND('Tabla de Amortizacion'!B159,8),IF('CALCULADORA TIPS Pesos E-11'!$F$10="6% (Medio)",ROUND('Tabla de Amortizacion'!E159,8),IF('CALCULADORA TIPS Pesos E-11'!$F$10="10% (Medio Alto)",ROUND('Tabla de Amortizacion'!H159,8),IF('CALCULADORA TIPS Pesos E-11'!$F$10="14% (Alto)",ROUND('Tabla de Amortizacion'!K159,8),IF('CALCULADORA TIPS Pesos E-11'!$F$10=20%,ROUND('Tabla de Amortizacion'!N159,8),ROUND('Tabla de Amortizacion'!Q159,8))))))</f>
        <v>0</v>
      </c>
      <c r="C158" s="141">
        <f>IF('CALCULADORA TIPS Pesos E-11'!$F$10="Contractual",ROUND('Tabla de Amortizacion'!C159,8),IF('CALCULADORA TIPS Pesos E-11'!$F$10="6% (Medio)",ROUND('Tabla de Amortizacion'!F159,8),IF('CALCULADORA TIPS Pesos E-11'!$F$10="10% (Medio Alto)",ROUND('Tabla de Amortizacion'!I159,8),IF('CALCULADORA TIPS Pesos E-11'!$F$10="14% (Alto)",ROUND('Tabla de Amortizacion'!L159,8),IF('CALCULADORA TIPS Pesos E-11'!$F$10=20%,ROUND('Tabla de Amortizacion'!O159,8),ROUND('Tabla de Amortizacion'!R159,8))))))</f>
        <v>0</v>
      </c>
    </row>
    <row r="159" spans="1:3" ht="12.75">
      <c r="A159" s="140">
        <f t="shared" si="4"/>
        <v>44755</v>
      </c>
      <c r="B159" s="141">
        <f>IF('CALCULADORA TIPS Pesos E-11'!$F$10="Contractual",ROUND('Tabla de Amortizacion'!B160,8),IF('CALCULADORA TIPS Pesos E-11'!$F$10="6% (Medio)",ROUND('Tabla de Amortizacion'!E160,8),IF('CALCULADORA TIPS Pesos E-11'!$F$10="10% (Medio Alto)",ROUND('Tabla de Amortizacion'!H160,8),IF('CALCULADORA TIPS Pesos E-11'!$F$10="14% (Alto)",ROUND('Tabla de Amortizacion'!K160,8),IF('CALCULADORA TIPS Pesos E-11'!$F$10=20%,ROUND('Tabla de Amortizacion'!N160,8),ROUND('Tabla de Amortizacion'!Q160,8))))))</f>
        <v>0</v>
      </c>
      <c r="C159" s="141">
        <f>IF('CALCULADORA TIPS Pesos E-11'!$F$10="Contractual",ROUND('Tabla de Amortizacion'!C160,8),IF('CALCULADORA TIPS Pesos E-11'!$F$10="6% (Medio)",ROUND('Tabla de Amortizacion'!F160,8),IF('CALCULADORA TIPS Pesos E-11'!$F$10="10% (Medio Alto)",ROUND('Tabla de Amortizacion'!I160,8),IF('CALCULADORA TIPS Pesos E-11'!$F$10="14% (Alto)",ROUND('Tabla de Amortizacion'!L160,8),IF('CALCULADORA TIPS Pesos E-11'!$F$10=20%,ROUND('Tabla de Amortizacion'!O160,8),ROUND('Tabla de Amortizacion'!R160,8))))))</f>
        <v>0</v>
      </c>
    </row>
    <row r="160" spans="1:3" ht="12.75">
      <c r="A160" s="140">
        <f t="shared" si="4"/>
        <v>44786</v>
      </c>
      <c r="B160" s="141">
        <f>IF('CALCULADORA TIPS Pesos E-11'!$F$10="Contractual",ROUND('Tabla de Amortizacion'!B161,8),IF('CALCULADORA TIPS Pesos E-11'!$F$10="6% (Medio)",ROUND('Tabla de Amortizacion'!E161,8),IF('CALCULADORA TIPS Pesos E-11'!$F$10="10% (Medio Alto)",ROUND('Tabla de Amortizacion'!H161,8),IF('CALCULADORA TIPS Pesos E-11'!$F$10="14% (Alto)",ROUND('Tabla de Amortizacion'!K161,8),IF('CALCULADORA TIPS Pesos E-11'!$F$10=20%,ROUND('Tabla de Amortizacion'!N161,8),ROUND('Tabla de Amortizacion'!Q161,8))))))</f>
        <v>0</v>
      </c>
      <c r="C160" s="141">
        <f>IF('CALCULADORA TIPS Pesos E-11'!$F$10="Contractual",ROUND('Tabla de Amortizacion'!C161,8),IF('CALCULADORA TIPS Pesos E-11'!$F$10="6% (Medio)",ROUND('Tabla de Amortizacion'!F161,8),IF('CALCULADORA TIPS Pesos E-11'!$F$10="10% (Medio Alto)",ROUND('Tabla de Amortizacion'!I161,8),IF('CALCULADORA TIPS Pesos E-11'!$F$10="14% (Alto)",ROUND('Tabla de Amortizacion'!L161,8),IF('CALCULADORA TIPS Pesos E-11'!$F$10=20%,ROUND('Tabla de Amortizacion'!O161,8),ROUND('Tabla de Amortizacion'!R161,8))))))</f>
        <v>0</v>
      </c>
    </row>
    <row r="161" spans="1:3" ht="12.75">
      <c r="A161" s="140">
        <f t="shared" si="4"/>
        <v>44817</v>
      </c>
      <c r="B161" s="141">
        <f>IF('CALCULADORA TIPS Pesos E-11'!$F$10="Contractual",ROUND('Tabla de Amortizacion'!B162,8),IF('CALCULADORA TIPS Pesos E-11'!$F$10="6% (Medio)",ROUND('Tabla de Amortizacion'!E162,8),IF('CALCULADORA TIPS Pesos E-11'!$F$10="10% (Medio Alto)",ROUND('Tabla de Amortizacion'!H162,8),IF('CALCULADORA TIPS Pesos E-11'!$F$10="14% (Alto)",ROUND('Tabla de Amortizacion'!K162,8),IF('CALCULADORA TIPS Pesos E-11'!$F$10=20%,ROUND('Tabla de Amortizacion'!N162,8),ROUND('Tabla de Amortizacion'!Q162,8))))))</f>
        <v>0</v>
      </c>
      <c r="C161" s="141">
        <f>IF('CALCULADORA TIPS Pesos E-11'!$F$10="Contractual",ROUND('Tabla de Amortizacion'!C162,8),IF('CALCULADORA TIPS Pesos E-11'!$F$10="6% (Medio)",ROUND('Tabla de Amortizacion'!F162,8),IF('CALCULADORA TIPS Pesos E-11'!$F$10="10% (Medio Alto)",ROUND('Tabla de Amortizacion'!I162,8),IF('CALCULADORA TIPS Pesos E-11'!$F$10="14% (Alto)",ROUND('Tabla de Amortizacion'!L162,8),IF('CALCULADORA TIPS Pesos E-11'!$F$10=20%,ROUND('Tabla de Amortizacion'!O162,8),ROUND('Tabla de Amortizacion'!R162,8))))))</f>
        <v>0</v>
      </c>
    </row>
    <row r="162" spans="1:3" ht="12.75">
      <c r="A162" s="140">
        <f t="shared" si="4"/>
        <v>44847</v>
      </c>
      <c r="B162" s="141">
        <f>IF('CALCULADORA TIPS Pesos E-11'!$F$10="Contractual",ROUND('Tabla de Amortizacion'!B163,8),IF('CALCULADORA TIPS Pesos E-11'!$F$10="6% (Medio)",ROUND('Tabla de Amortizacion'!E163,8),IF('CALCULADORA TIPS Pesos E-11'!$F$10="10% (Medio Alto)",ROUND('Tabla de Amortizacion'!H163,8),IF('CALCULADORA TIPS Pesos E-11'!$F$10="14% (Alto)",ROUND('Tabla de Amortizacion'!K163,8),IF('CALCULADORA TIPS Pesos E-11'!$F$10=20%,ROUND('Tabla de Amortizacion'!N163,8),ROUND('Tabla de Amortizacion'!Q163,8))))))</f>
        <v>0</v>
      </c>
      <c r="C162" s="141">
        <f>IF('CALCULADORA TIPS Pesos E-11'!$F$10="Contractual",ROUND('Tabla de Amortizacion'!C163,8),IF('CALCULADORA TIPS Pesos E-11'!$F$10="6% (Medio)",ROUND('Tabla de Amortizacion'!F163,8),IF('CALCULADORA TIPS Pesos E-11'!$F$10="10% (Medio Alto)",ROUND('Tabla de Amortizacion'!I163,8),IF('CALCULADORA TIPS Pesos E-11'!$F$10="14% (Alto)",ROUND('Tabla de Amortizacion'!L163,8),IF('CALCULADORA TIPS Pesos E-11'!$F$10=20%,ROUND('Tabla de Amortizacion'!O163,8),ROUND('Tabla de Amortizacion'!R163,8))))))</f>
        <v>0</v>
      </c>
    </row>
    <row r="163" spans="1:3" ht="12.75">
      <c r="A163" s="140">
        <f aca="true" t="shared" si="5" ref="A163:A181">_XLL.FECHA.MES(A162,1)</f>
        <v>44878</v>
      </c>
      <c r="B163" s="141">
        <f>IF('CALCULADORA TIPS Pesos E-11'!$F$10="Contractual",ROUND('Tabla de Amortizacion'!B164,8),IF('CALCULADORA TIPS Pesos E-11'!$F$10="6% (Medio)",ROUND('Tabla de Amortizacion'!E164,8),IF('CALCULADORA TIPS Pesos E-11'!$F$10="10% (Medio Alto)",ROUND('Tabla de Amortizacion'!H164,8),IF('CALCULADORA TIPS Pesos E-11'!$F$10="14% (Alto)",ROUND('Tabla de Amortizacion'!K164,8),IF('CALCULADORA TIPS Pesos E-11'!$F$10=20%,ROUND('Tabla de Amortizacion'!N164,8),ROUND('Tabla de Amortizacion'!Q164,8))))))</f>
        <v>0</v>
      </c>
      <c r="C163" s="141">
        <f>IF('CALCULADORA TIPS Pesos E-11'!$F$10="Contractual",ROUND('Tabla de Amortizacion'!C164,8),IF('CALCULADORA TIPS Pesos E-11'!$F$10="6% (Medio)",ROUND('Tabla de Amortizacion'!F164,8),IF('CALCULADORA TIPS Pesos E-11'!$F$10="10% (Medio Alto)",ROUND('Tabla de Amortizacion'!I164,8),IF('CALCULADORA TIPS Pesos E-11'!$F$10="14% (Alto)",ROUND('Tabla de Amortizacion'!L164,8),IF('CALCULADORA TIPS Pesos E-11'!$F$10=20%,ROUND('Tabla de Amortizacion'!O164,8),ROUND('Tabla de Amortizacion'!R164,8))))))</f>
        <v>0</v>
      </c>
    </row>
    <row r="164" spans="1:3" ht="12.75">
      <c r="A164" s="140">
        <f t="shared" si="5"/>
        <v>44908</v>
      </c>
      <c r="B164" s="141">
        <f>IF('CALCULADORA TIPS Pesos E-11'!$F$10="Contractual",ROUND('Tabla de Amortizacion'!B165,8),IF('CALCULADORA TIPS Pesos E-11'!$F$10="6% (Medio)",ROUND('Tabla de Amortizacion'!E165,8),IF('CALCULADORA TIPS Pesos E-11'!$F$10="10% (Medio Alto)",ROUND('Tabla de Amortizacion'!H165,8),IF('CALCULADORA TIPS Pesos E-11'!$F$10="14% (Alto)",ROUND('Tabla de Amortizacion'!K165,8),IF('CALCULADORA TIPS Pesos E-11'!$F$10=20%,ROUND('Tabla de Amortizacion'!N165,8),ROUND('Tabla de Amortizacion'!Q165,8))))))</f>
        <v>0</v>
      </c>
      <c r="C164" s="141">
        <f>IF('CALCULADORA TIPS Pesos E-11'!$F$10="Contractual",ROUND('Tabla de Amortizacion'!C165,8),IF('CALCULADORA TIPS Pesos E-11'!$F$10="6% (Medio)",ROUND('Tabla de Amortizacion'!F165,8),IF('CALCULADORA TIPS Pesos E-11'!$F$10="10% (Medio Alto)",ROUND('Tabla de Amortizacion'!I165,8),IF('CALCULADORA TIPS Pesos E-11'!$F$10="14% (Alto)",ROUND('Tabla de Amortizacion'!L165,8),IF('CALCULADORA TIPS Pesos E-11'!$F$10=20%,ROUND('Tabla de Amortizacion'!O165,8),ROUND('Tabla de Amortizacion'!R165,8))))))</f>
        <v>0</v>
      </c>
    </row>
    <row r="165" spans="1:3" ht="12.75">
      <c r="A165" s="140">
        <f t="shared" si="5"/>
        <v>44939</v>
      </c>
      <c r="B165" s="141">
        <f>IF('CALCULADORA TIPS Pesos E-11'!$F$10="Contractual",ROUND('Tabla de Amortizacion'!B166,8),IF('CALCULADORA TIPS Pesos E-11'!$F$10="6% (Medio)",ROUND('Tabla de Amortizacion'!E166,8),IF('CALCULADORA TIPS Pesos E-11'!$F$10="10% (Medio Alto)",ROUND('Tabla de Amortizacion'!H166,8),IF('CALCULADORA TIPS Pesos E-11'!$F$10="14% (Alto)",ROUND('Tabla de Amortizacion'!K166,8),IF('CALCULADORA TIPS Pesos E-11'!$F$10=20%,ROUND('Tabla de Amortizacion'!N166,8),ROUND('Tabla de Amortizacion'!Q166,8))))))</f>
        <v>0</v>
      </c>
      <c r="C165" s="141">
        <f>IF('CALCULADORA TIPS Pesos E-11'!$F$10="Contractual",ROUND('Tabla de Amortizacion'!C166,8),IF('CALCULADORA TIPS Pesos E-11'!$F$10="6% (Medio)",ROUND('Tabla de Amortizacion'!F166,8),IF('CALCULADORA TIPS Pesos E-11'!$F$10="10% (Medio Alto)",ROUND('Tabla de Amortizacion'!I166,8),IF('CALCULADORA TIPS Pesos E-11'!$F$10="14% (Alto)",ROUND('Tabla de Amortizacion'!L166,8),IF('CALCULADORA TIPS Pesos E-11'!$F$10=20%,ROUND('Tabla de Amortizacion'!O166,8),ROUND('Tabla de Amortizacion'!R166,8))))))</f>
        <v>0</v>
      </c>
    </row>
    <row r="166" spans="1:3" ht="12.75">
      <c r="A166" s="140">
        <f t="shared" si="5"/>
        <v>44970</v>
      </c>
      <c r="B166" s="141">
        <f>IF('CALCULADORA TIPS Pesos E-11'!$F$10="Contractual",ROUND('Tabla de Amortizacion'!B167,8),IF('CALCULADORA TIPS Pesos E-11'!$F$10="6% (Medio)",ROUND('Tabla de Amortizacion'!E167,8),IF('CALCULADORA TIPS Pesos E-11'!$F$10="10% (Medio Alto)",ROUND('Tabla de Amortizacion'!H167,8),IF('CALCULADORA TIPS Pesos E-11'!$F$10="14% (Alto)",ROUND('Tabla de Amortizacion'!K167,8),IF('CALCULADORA TIPS Pesos E-11'!$F$10=20%,ROUND('Tabla de Amortizacion'!N167,8),ROUND('Tabla de Amortizacion'!Q167,8))))))</f>
        <v>0</v>
      </c>
      <c r="C166" s="141">
        <f>IF('CALCULADORA TIPS Pesos E-11'!$F$10="Contractual",ROUND('Tabla de Amortizacion'!C167,8),IF('CALCULADORA TIPS Pesos E-11'!$F$10="6% (Medio)",ROUND('Tabla de Amortizacion'!F167,8),IF('CALCULADORA TIPS Pesos E-11'!$F$10="10% (Medio Alto)",ROUND('Tabla de Amortizacion'!I167,8),IF('CALCULADORA TIPS Pesos E-11'!$F$10="14% (Alto)",ROUND('Tabla de Amortizacion'!L167,8),IF('CALCULADORA TIPS Pesos E-11'!$F$10=20%,ROUND('Tabla de Amortizacion'!O167,8),ROUND('Tabla de Amortizacion'!R167,8))))))</f>
        <v>0</v>
      </c>
    </row>
    <row r="167" spans="1:3" ht="12.75">
      <c r="A167" s="140">
        <f t="shared" si="5"/>
        <v>44998</v>
      </c>
      <c r="B167" s="141">
        <f>IF('CALCULADORA TIPS Pesos E-11'!$F$10="Contractual",ROUND('Tabla de Amortizacion'!B168,8),IF('CALCULADORA TIPS Pesos E-11'!$F$10="6% (Medio)",ROUND('Tabla de Amortizacion'!E168,8),IF('CALCULADORA TIPS Pesos E-11'!$F$10="10% (Medio Alto)",ROUND('Tabla de Amortizacion'!H168,8),IF('CALCULADORA TIPS Pesos E-11'!$F$10="14% (Alto)",ROUND('Tabla de Amortizacion'!K168,8),IF('CALCULADORA TIPS Pesos E-11'!$F$10=20%,ROUND('Tabla de Amortizacion'!N168,8),ROUND('Tabla de Amortizacion'!Q168,8))))))</f>
        <v>0</v>
      </c>
      <c r="C167" s="141">
        <f>IF('CALCULADORA TIPS Pesos E-11'!$F$10="Contractual",ROUND('Tabla de Amortizacion'!C168,8),IF('CALCULADORA TIPS Pesos E-11'!$F$10="6% (Medio)",ROUND('Tabla de Amortizacion'!F168,8),IF('CALCULADORA TIPS Pesos E-11'!$F$10="10% (Medio Alto)",ROUND('Tabla de Amortizacion'!I168,8),IF('CALCULADORA TIPS Pesos E-11'!$F$10="14% (Alto)",ROUND('Tabla de Amortizacion'!L168,8),IF('CALCULADORA TIPS Pesos E-11'!$F$10=20%,ROUND('Tabla de Amortizacion'!O168,8),ROUND('Tabla de Amortizacion'!R168,8))))))</f>
        <v>0</v>
      </c>
    </row>
    <row r="168" spans="1:3" ht="12.75">
      <c r="A168" s="140">
        <f t="shared" si="5"/>
        <v>45029</v>
      </c>
      <c r="B168" s="141">
        <f>IF('CALCULADORA TIPS Pesos E-11'!$F$10="Contractual",ROUND('Tabla de Amortizacion'!B169,8),IF('CALCULADORA TIPS Pesos E-11'!$F$10="6% (Medio)",ROUND('Tabla de Amortizacion'!E169,8),IF('CALCULADORA TIPS Pesos E-11'!$F$10="10% (Medio Alto)",ROUND('Tabla de Amortizacion'!H169,8),IF('CALCULADORA TIPS Pesos E-11'!$F$10="14% (Alto)",ROUND('Tabla de Amortizacion'!K169,8),IF('CALCULADORA TIPS Pesos E-11'!$F$10=20%,ROUND('Tabla de Amortizacion'!N169,8),ROUND('Tabla de Amortizacion'!Q169,8))))))</f>
        <v>0</v>
      </c>
      <c r="C168" s="141">
        <f>IF('CALCULADORA TIPS Pesos E-11'!$F$10="Contractual",ROUND('Tabla de Amortizacion'!C169,8),IF('CALCULADORA TIPS Pesos E-11'!$F$10="6% (Medio)",ROUND('Tabla de Amortizacion'!F169,8),IF('CALCULADORA TIPS Pesos E-11'!$F$10="10% (Medio Alto)",ROUND('Tabla de Amortizacion'!I169,8),IF('CALCULADORA TIPS Pesos E-11'!$F$10="14% (Alto)",ROUND('Tabla de Amortizacion'!L169,8),IF('CALCULADORA TIPS Pesos E-11'!$F$10=20%,ROUND('Tabla de Amortizacion'!O169,8),ROUND('Tabla de Amortizacion'!R169,8))))))</f>
        <v>0</v>
      </c>
    </row>
    <row r="169" spans="1:3" ht="12.75">
      <c r="A169" s="140">
        <f t="shared" si="5"/>
        <v>45059</v>
      </c>
      <c r="B169" s="141">
        <f>IF('CALCULADORA TIPS Pesos E-11'!$F$10="Contractual",ROUND('Tabla de Amortizacion'!B170,8),IF('CALCULADORA TIPS Pesos E-11'!$F$10="6% (Medio)",ROUND('Tabla de Amortizacion'!E170,8),IF('CALCULADORA TIPS Pesos E-11'!$F$10="10% (Medio Alto)",ROUND('Tabla de Amortizacion'!H170,8),IF('CALCULADORA TIPS Pesos E-11'!$F$10="14% (Alto)",ROUND('Tabla de Amortizacion'!K170,8),IF('CALCULADORA TIPS Pesos E-11'!$F$10=20%,ROUND('Tabla de Amortizacion'!N170,8),ROUND('Tabla de Amortizacion'!Q170,8))))))</f>
        <v>0</v>
      </c>
      <c r="C169" s="141">
        <f>IF('CALCULADORA TIPS Pesos E-11'!$F$10="Contractual",ROUND('Tabla de Amortizacion'!C170,8),IF('CALCULADORA TIPS Pesos E-11'!$F$10="6% (Medio)",ROUND('Tabla de Amortizacion'!F170,8),IF('CALCULADORA TIPS Pesos E-11'!$F$10="10% (Medio Alto)",ROUND('Tabla de Amortizacion'!I170,8),IF('CALCULADORA TIPS Pesos E-11'!$F$10="14% (Alto)",ROUND('Tabla de Amortizacion'!L170,8),IF('CALCULADORA TIPS Pesos E-11'!$F$10=20%,ROUND('Tabla de Amortizacion'!O170,8),ROUND('Tabla de Amortizacion'!R170,8))))))</f>
        <v>0</v>
      </c>
    </row>
    <row r="170" spans="1:3" ht="12.75">
      <c r="A170" s="140">
        <f t="shared" si="5"/>
        <v>45090</v>
      </c>
      <c r="B170" s="141">
        <f>IF('CALCULADORA TIPS Pesos E-11'!$F$10="Contractual",ROUND('Tabla de Amortizacion'!B171,8),IF('CALCULADORA TIPS Pesos E-11'!$F$10="6% (Medio)",ROUND('Tabla de Amortizacion'!E171,8),IF('CALCULADORA TIPS Pesos E-11'!$F$10="10% (Medio Alto)",ROUND('Tabla de Amortizacion'!H171,8),IF('CALCULADORA TIPS Pesos E-11'!$F$10="14% (Alto)",ROUND('Tabla de Amortizacion'!K171,8),IF('CALCULADORA TIPS Pesos E-11'!$F$10=20%,ROUND('Tabla de Amortizacion'!N171,8),ROUND('Tabla de Amortizacion'!Q171,8))))))</f>
        <v>0</v>
      </c>
      <c r="C170" s="141">
        <f>IF('CALCULADORA TIPS Pesos E-11'!$F$10="Contractual",ROUND('Tabla de Amortizacion'!C171,8),IF('CALCULADORA TIPS Pesos E-11'!$F$10="6% (Medio)",ROUND('Tabla de Amortizacion'!F171,8),IF('CALCULADORA TIPS Pesos E-11'!$F$10="10% (Medio Alto)",ROUND('Tabla de Amortizacion'!I171,8),IF('CALCULADORA TIPS Pesos E-11'!$F$10="14% (Alto)",ROUND('Tabla de Amortizacion'!L171,8),IF('CALCULADORA TIPS Pesos E-11'!$F$10=20%,ROUND('Tabla de Amortizacion'!O171,8),ROUND('Tabla de Amortizacion'!R171,8))))))</f>
        <v>0</v>
      </c>
    </row>
    <row r="171" spans="1:3" ht="12.75">
      <c r="A171" s="140">
        <f t="shared" si="5"/>
        <v>45120</v>
      </c>
      <c r="B171" s="141">
        <f>IF('CALCULADORA TIPS Pesos E-11'!$F$10="Contractual",ROUND('Tabla de Amortizacion'!B172,8),IF('CALCULADORA TIPS Pesos E-11'!$F$10="6% (Medio)",ROUND('Tabla de Amortizacion'!E172,8),IF('CALCULADORA TIPS Pesos E-11'!$F$10="10% (Medio Alto)",ROUND('Tabla de Amortizacion'!H172,8),IF('CALCULADORA TIPS Pesos E-11'!$F$10="14% (Alto)",ROUND('Tabla de Amortizacion'!K172,8),IF('CALCULADORA TIPS Pesos E-11'!$F$10=20%,ROUND('Tabla de Amortizacion'!N172,8),ROUND('Tabla de Amortizacion'!Q172,8))))))</f>
        <v>0</v>
      </c>
      <c r="C171" s="141">
        <f>IF('CALCULADORA TIPS Pesos E-11'!$F$10="Contractual",ROUND('Tabla de Amortizacion'!C172,8),IF('CALCULADORA TIPS Pesos E-11'!$F$10="6% (Medio)",ROUND('Tabla de Amortizacion'!F172,8),IF('CALCULADORA TIPS Pesos E-11'!$F$10="10% (Medio Alto)",ROUND('Tabla de Amortizacion'!I172,8),IF('CALCULADORA TIPS Pesos E-11'!$F$10="14% (Alto)",ROUND('Tabla de Amortizacion'!L172,8),IF('CALCULADORA TIPS Pesos E-11'!$F$10=20%,ROUND('Tabla de Amortizacion'!O172,8),ROUND('Tabla de Amortizacion'!R172,8))))))</f>
        <v>0</v>
      </c>
    </row>
    <row r="172" spans="1:3" ht="12.75">
      <c r="A172" s="140">
        <f t="shared" si="5"/>
        <v>45151</v>
      </c>
      <c r="B172" s="141">
        <f>IF('CALCULADORA TIPS Pesos E-11'!$F$10="Contractual",ROUND('Tabla de Amortizacion'!B173,8),IF('CALCULADORA TIPS Pesos E-11'!$F$10="6% (Medio)",ROUND('Tabla de Amortizacion'!E173,8),IF('CALCULADORA TIPS Pesos E-11'!$F$10="10% (Medio Alto)",ROUND('Tabla de Amortizacion'!H173,8),IF('CALCULADORA TIPS Pesos E-11'!$F$10="14% (Alto)",ROUND('Tabla de Amortizacion'!K173,8),IF('CALCULADORA TIPS Pesos E-11'!$F$10=20%,ROUND('Tabla de Amortizacion'!N173,8),ROUND('Tabla de Amortizacion'!Q173,8))))))</f>
        <v>0</v>
      </c>
      <c r="C172" s="141">
        <f>IF('CALCULADORA TIPS Pesos E-11'!$F$10="Contractual",ROUND('Tabla de Amortizacion'!C173,8),IF('CALCULADORA TIPS Pesos E-11'!$F$10="6% (Medio)",ROUND('Tabla de Amortizacion'!F173,8),IF('CALCULADORA TIPS Pesos E-11'!$F$10="10% (Medio Alto)",ROUND('Tabla de Amortizacion'!I173,8),IF('CALCULADORA TIPS Pesos E-11'!$F$10="14% (Alto)",ROUND('Tabla de Amortizacion'!L173,8),IF('CALCULADORA TIPS Pesos E-11'!$F$10=20%,ROUND('Tabla de Amortizacion'!O173,8),ROUND('Tabla de Amortizacion'!R173,8))))))</f>
        <v>0</v>
      </c>
    </row>
    <row r="173" spans="1:3" ht="12.75">
      <c r="A173" s="140">
        <f t="shared" si="5"/>
        <v>45182</v>
      </c>
      <c r="B173" s="141">
        <f>IF('CALCULADORA TIPS Pesos E-11'!$F$10="Contractual",ROUND('Tabla de Amortizacion'!B174,8),IF('CALCULADORA TIPS Pesos E-11'!$F$10="6% (Medio)",ROUND('Tabla de Amortizacion'!E174,8),IF('CALCULADORA TIPS Pesos E-11'!$F$10="10% (Medio Alto)",ROUND('Tabla de Amortizacion'!H174,8),IF('CALCULADORA TIPS Pesos E-11'!$F$10="14% (Alto)",ROUND('Tabla de Amortizacion'!K174,8),IF('CALCULADORA TIPS Pesos E-11'!$F$10=20%,ROUND('Tabla de Amortizacion'!N174,8),ROUND('Tabla de Amortizacion'!Q174,8))))))</f>
        <v>0</v>
      </c>
      <c r="C173" s="141">
        <f>IF('CALCULADORA TIPS Pesos E-11'!$F$10="Contractual",ROUND('Tabla de Amortizacion'!C174,8),IF('CALCULADORA TIPS Pesos E-11'!$F$10="6% (Medio)",ROUND('Tabla de Amortizacion'!F174,8),IF('CALCULADORA TIPS Pesos E-11'!$F$10="10% (Medio Alto)",ROUND('Tabla de Amortizacion'!I174,8),IF('CALCULADORA TIPS Pesos E-11'!$F$10="14% (Alto)",ROUND('Tabla de Amortizacion'!L174,8),IF('CALCULADORA TIPS Pesos E-11'!$F$10=20%,ROUND('Tabla de Amortizacion'!O174,8),ROUND('Tabla de Amortizacion'!R174,8))))))</f>
        <v>0</v>
      </c>
    </row>
    <row r="174" spans="1:3" ht="12.75">
      <c r="A174" s="140">
        <f t="shared" si="5"/>
        <v>45212</v>
      </c>
      <c r="B174" s="141">
        <f>IF('CALCULADORA TIPS Pesos E-11'!$F$10="Contractual",ROUND('Tabla de Amortizacion'!B175,8),IF('CALCULADORA TIPS Pesos E-11'!$F$10="6% (Medio)",ROUND('Tabla de Amortizacion'!E175,8),IF('CALCULADORA TIPS Pesos E-11'!$F$10="10% (Medio Alto)",ROUND('Tabla de Amortizacion'!H175,8),IF('CALCULADORA TIPS Pesos E-11'!$F$10="14% (Alto)",ROUND('Tabla de Amortizacion'!K175,8),IF('CALCULADORA TIPS Pesos E-11'!$F$10=20%,ROUND('Tabla de Amortizacion'!N175,8),ROUND('Tabla de Amortizacion'!Q175,8))))))</f>
        <v>0</v>
      </c>
      <c r="C174" s="141">
        <f>IF('CALCULADORA TIPS Pesos E-11'!$F$10="Contractual",ROUND('Tabla de Amortizacion'!C175,8),IF('CALCULADORA TIPS Pesos E-11'!$F$10="6% (Medio)",ROUND('Tabla de Amortizacion'!F175,8),IF('CALCULADORA TIPS Pesos E-11'!$F$10="10% (Medio Alto)",ROUND('Tabla de Amortizacion'!I175,8),IF('CALCULADORA TIPS Pesos E-11'!$F$10="14% (Alto)",ROUND('Tabla de Amortizacion'!L175,8),IF('CALCULADORA TIPS Pesos E-11'!$F$10=20%,ROUND('Tabla de Amortizacion'!O175,8),ROUND('Tabla de Amortizacion'!R175,8))))))</f>
        <v>0</v>
      </c>
    </row>
    <row r="175" spans="1:3" ht="12.75">
      <c r="A175" s="140">
        <f t="shared" si="5"/>
        <v>45243</v>
      </c>
      <c r="B175" s="141">
        <f>IF('CALCULADORA TIPS Pesos E-11'!$F$10="Contractual",ROUND('Tabla de Amortizacion'!B176,8),IF('CALCULADORA TIPS Pesos E-11'!$F$10="6% (Medio)",ROUND('Tabla de Amortizacion'!E176,8),IF('CALCULADORA TIPS Pesos E-11'!$F$10="10% (Medio Alto)",ROUND('Tabla de Amortizacion'!H176,8),IF('CALCULADORA TIPS Pesos E-11'!$F$10="14% (Alto)",ROUND('Tabla de Amortizacion'!K176,8),IF('CALCULADORA TIPS Pesos E-11'!$F$10=20%,ROUND('Tabla de Amortizacion'!N176,8),ROUND('Tabla de Amortizacion'!Q176,8))))))</f>
        <v>0</v>
      </c>
      <c r="C175" s="141">
        <f>IF('CALCULADORA TIPS Pesos E-11'!$F$10="Contractual",ROUND('Tabla de Amortizacion'!C176,8),IF('CALCULADORA TIPS Pesos E-11'!$F$10="6% (Medio)",ROUND('Tabla de Amortizacion'!F176,8),IF('CALCULADORA TIPS Pesos E-11'!$F$10="10% (Medio Alto)",ROUND('Tabla de Amortizacion'!I176,8),IF('CALCULADORA TIPS Pesos E-11'!$F$10="14% (Alto)",ROUND('Tabla de Amortizacion'!L176,8),IF('CALCULADORA TIPS Pesos E-11'!$F$10=20%,ROUND('Tabla de Amortizacion'!O176,8),ROUND('Tabla de Amortizacion'!R176,8))))))</f>
        <v>0</v>
      </c>
    </row>
    <row r="176" spans="1:3" ht="12.75">
      <c r="A176" s="140">
        <f t="shared" si="5"/>
        <v>45273</v>
      </c>
      <c r="B176" s="141">
        <f>IF('CALCULADORA TIPS Pesos E-11'!$F$10="Contractual",ROUND('Tabla de Amortizacion'!B177,8),IF('CALCULADORA TIPS Pesos E-11'!$F$10="6% (Medio)",ROUND('Tabla de Amortizacion'!E177,8),IF('CALCULADORA TIPS Pesos E-11'!$F$10="10% (Medio Alto)",ROUND('Tabla de Amortizacion'!H177,8),IF('CALCULADORA TIPS Pesos E-11'!$F$10="14% (Alto)",ROUND('Tabla de Amortizacion'!K177,8),IF('CALCULADORA TIPS Pesos E-11'!$F$10=20%,ROUND('Tabla de Amortizacion'!N177,8),ROUND('Tabla de Amortizacion'!Q177,8))))))</f>
        <v>0</v>
      </c>
      <c r="C176" s="141">
        <f>IF('CALCULADORA TIPS Pesos E-11'!$F$10="Contractual",ROUND('Tabla de Amortizacion'!C177,8),IF('CALCULADORA TIPS Pesos E-11'!$F$10="6% (Medio)",ROUND('Tabla de Amortizacion'!F177,8),IF('CALCULADORA TIPS Pesos E-11'!$F$10="10% (Medio Alto)",ROUND('Tabla de Amortizacion'!I177,8),IF('CALCULADORA TIPS Pesos E-11'!$F$10="14% (Alto)",ROUND('Tabla de Amortizacion'!L177,8),IF('CALCULADORA TIPS Pesos E-11'!$F$10=20%,ROUND('Tabla de Amortizacion'!O177,8),ROUND('Tabla de Amortizacion'!R177,8))))))</f>
        <v>0</v>
      </c>
    </row>
    <row r="177" spans="1:3" ht="12.75">
      <c r="A177" s="140">
        <f t="shared" si="5"/>
        <v>45304</v>
      </c>
      <c r="B177" s="141">
        <f>IF('CALCULADORA TIPS Pesos E-11'!$F$10="Contractual",ROUND('Tabla de Amortizacion'!B178,8),IF('CALCULADORA TIPS Pesos E-11'!$F$10="6% (Medio)",ROUND('Tabla de Amortizacion'!E178,8),IF('CALCULADORA TIPS Pesos E-11'!$F$10="10% (Medio Alto)",ROUND('Tabla de Amortizacion'!H178,8),IF('CALCULADORA TIPS Pesos E-11'!$F$10="14% (Alto)",ROUND('Tabla de Amortizacion'!K178,8),IF('CALCULADORA TIPS Pesos E-11'!$F$10=20%,ROUND('Tabla de Amortizacion'!N178,8),ROUND('Tabla de Amortizacion'!Q178,8))))))</f>
        <v>0</v>
      </c>
      <c r="C177" s="141">
        <f>IF('CALCULADORA TIPS Pesos E-11'!$F$10="Contractual",ROUND('Tabla de Amortizacion'!C178,8),IF('CALCULADORA TIPS Pesos E-11'!$F$10="6% (Medio)",ROUND('Tabla de Amortizacion'!F178,8),IF('CALCULADORA TIPS Pesos E-11'!$F$10="10% (Medio Alto)",ROUND('Tabla de Amortizacion'!I178,8),IF('CALCULADORA TIPS Pesos E-11'!$F$10="14% (Alto)",ROUND('Tabla de Amortizacion'!L178,8),IF('CALCULADORA TIPS Pesos E-11'!$F$10=20%,ROUND('Tabla de Amortizacion'!O178,8),ROUND('Tabla de Amortizacion'!R178,8))))))</f>
        <v>0</v>
      </c>
    </row>
    <row r="178" spans="1:3" ht="12.75">
      <c r="A178" s="140">
        <f t="shared" si="5"/>
        <v>45335</v>
      </c>
      <c r="B178" s="141">
        <f>IF('CALCULADORA TIPS Pesos E-11'!$F$10="Contractual",ROUND('Tabla de Amortizacion'!B179,8),IF('CALCULADORA TIPS Pesos E-11'!$F$10="6% (Medio)",ROUND('Tabla de Amortizacion'!E179,8),IF('CALCULADORA TIPS Pesos E-11'!$F$10="10% (Medio Alto)",ROUND('Tabla de Amortizacion'!H179,8),IF('CALCULADORA TIPS Pesos E-11'!$F$10="14% (Alto)",ROUND('Tabla de Amortizacion'!K179,8),IF('CALCULADORA TIPS Pesos E-11'!$F$10=20%,ROUND('Tabla de Amortizacion'!N179,8),ROUND('Tabla de Amortizacion'!Q179,8))))))</f>
        <v>0</v>
      </c>
      <c r="C178" s="141">
        <f>IF('CALCULADORA TIPS Pesos E-11'!$F$10="Contractual",ROUND('Tabla de Amortizacion'!C179,8),IF('CALCULADORA TIPS Pesos E-11'!$F$10="6% (Medio)",ROUND('Tabla de Amortizacion'!F179,8),IF('CALCULADORA TIPS Pesos E-11'!$F$10="10% (Medio Alto)",ROUND('Tabla de Amortizacion'!I179,8),IF('CALCULADORA TIPS Pesos E-11'!$F$10="14% (Alto)",ROUND('Tabla de Amortizacion'!L179,8),IF('CALCULADORA TIPS Pesos E-11'!$F$10=20%,ROUND('Tabla de Amortizacion'!O179,8),ROUND('Tabla de Amortizacion'!R179,8))))))</f>
        <v>0</v>
      </c>
    </row>
    <row r="179" spans="1:3" ht="12.75">
      <c r="A179" s="140">
        <f t="shared" si="5"/>
        <v>45364</v>
      </c>
      <c r="B179" s="141">
        <f>IF('CALCULADORA TIPS Pesos E-11'!$F$10="Contractual",ROUND('Tabla de Amortizacion'!B180,8),IF('CALCULADORA TIPS Pesos E-11'!$F$10="6% (Medio)",ROUND('Tabla de Amortizacion'!E180,8),IF('CALCULADORA TIPS Pesos E-11'!$F$10="10% (Medio Alto)",ROUND('Tabla de Amortizacion'!H180,8),IF('CALCULADORA TIPS Pesos E-11'!$F$10="14% (Alto)",ROUND('Tabla de Amortizacion'!K180,8),IF('CALCULADORA TIPS Pesos E-11'!$F$10=20%,ROUND('Tabla de Amortizacion'!N180,8),ROUND('Tabla de Amortizacion'!Q180,8))))))</f>
        <v>0</v>
      </c>
      <c r="C179" s="141">
        <f>IF('CALCULADORA TIPS Pesos E-11'!$F$10="Contractual",ROUND('Tabla de Amortizacion'!C180,8),IF('CALCULADORA TIPS Pesos E-11'!$F$10="6% (Medio)",ROUND('Tabla de Amortizacion'!F180,8),IF('CALCULADORA TIPS Pesos E-11'!$F$10="10% (Medio Alto)",ROUND('Tabla de Amortizacion'!I180,8),IF('CALCULADORA TIPS Pesos E-11'!$F$10="14% (Alto)",ROUND('Tabla de Amortizacion'!L180,8),IF('CALCULADORA TIPS Pesos E-11'!$F$10=20%,ROUND('Tabla de Amortizacion'!O180,8),ROUND('Tabla de Amortizacion'!R180,8))))))</f>
        <v>0</v>
      </c>
    </row>
    <row r="180" spans="1:3" ht="12.75">
      <c r="A180" s="140">
        <f t="shared" si="5"/>
        <v>45395</v>
      </c>
      <c r="B180" s="141">
        <f>IF('CALCULADORA TIPS Pesos E-11'!$F$10="Contractual",ROUND('Tabla de Amortizacion'!B181,8),IF('CALCULADORA TIPS Pesos E-11'!$F$10="6% (Medio)",ROUND('Tabla de Amortizacion'!E181,8),IF('CALCULADORA TIPS Pesos E-11'!$F$10="10% (Medio Alto)",ROUND('Tabla de Amortizacion'!H181,8),IF('CALCULADORA TIPS Pesos E-11'!$F$10="14% (Alto)",ROUND('Tabla de Amortizacion'!K181,8),IF('CALCULADORA TIPS Pesos E-11'!$F$10=20%,ROUND('Tabla de Amortizacion'!N181,8),ROUND('Tabla de Amortizacion'!Q181,8))))))</f>
        <v>0</v>
      </c>
      <c r="C180" s="141">
        <f>IF('CALCULADORA TIPS Pesos E-11'!$F$10="Contractual",ROUND('Tabla de Amortizacion'!C181,8),IF('CALCULADORA TIPS Pesos E-11'!$F$10="6% (Medio)",ROUND('Tabla de Amortizacion'!F181,8),IF('CALCULADORA TIPS Pesos E-11'!$F$10="10% (Medio Alto)",ROUND('Tabla de Amortizacion'!I181,8),IF('CALCULADORA TIPS Pesos E-11'!$F$10="14% (Alto)",ROUND('Tabla de Amortizacion'!L181,8),IF('CALCULADORA TIPS Pesos E-11'!$F$10=20%,ROUND('Tabla de Amortizacion'!O181,8),ROUND('Tabla de Amortizacion'!R181,8))))))</f>
        <v>0</v>
      </c>
    </row>
    <row r="181" spans="1:3" ht="13.5" thickBot="1">
      <c r="A181" s="142">
        <f t="shared" si="5"/>
        <v>45425</v>
      </c>
      <c r="B181" s="143">
        <f>IF('CALCULADORA TIPS Pesos E-11'!$F$10="Contractual",ROUND('Tabla de Amortizacion'!B182,8),IF('CALCULADORA TIPS Pesos E-11'!$F$10="6% (Medio)",ROUND('Tabla de Amortizacion'!E182,8),IF('CALCULADORA TIPS Pesos E-11'!$F$10="10% (Medio Alto)",ROUND('Tabla de Amortizacion'!H182,8),IF('CALCULADORA TIPS Pesos E-11'!$F$10="14% (Alto)",ROUND('Tabla de Amortizacion'!K182,8),IF('CALCULADORA TIPS Pesos E-11'!$F$10=20%,ROUND('Tabla de Amortizacion'!N182,8),ROUND('Tabla de Amortizacion'!Q182,8))))))</f>
        <v>0</v>
      </c>
      <c r="C181" s="143">
        <f>IF('CALCULADORA TIPS Pesos E-11'!$F$10="Contractual",ROUND('Tabla de Amortizacion'!C182,8),IF('CALCULADORA TIPS Pesos E-11'!$F$10="6% (Medio)",ROUND('Tabla de Amortizacion'!F182,8),IF('CALCULADORA TIPS Pesos E-11'!$F$10="10% (Medio Alto)",ROUND('Tabla de Amortizacion'!I182,8),IF('CALCULADORA TIPS Pesos E-11'!$F$10="14% (Alto)",ROUND('Tabla de Amortizacion'!L182,8),IF('CALCULADORA TIPS Pesos E-11'!$F$10=20%,ROUND('Tabla de Amortizacion'!O182,8),ROUND('Tabla de Amortizacion'!R182,8))))))</f>
        <v>0</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Gabriel Camilo Vivas</cp:lastModifiedBy>
  <cp:lastPrinted>2008-01-08T21:41:33Z</cp:lastPrinted>
  <dcterms:created xsi:type="dcterms:W3CDTF">2002-04-18T20:31:17Z</dcterms:created>
  <dcterms:modified xsi:type="dcterms:W3CDTF">2013-08-13T14:11:11Z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