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2120" windowHeight="4275" tabRatio="658" activeTab="0"/>
  </bookViews>
  <sheets>
    <sheet name="CALCULADORA TIPS Pesos E-14" sheetId="1" r:id="rId1"/>
    <sheet name="Características" sheetId="2" state="hidden" r:id="rId2"/>
    <sheet name="Flujos" sheetId="3" r:id="rId3"/>
    <sheet name="Tabla de Amortizacion" sheetId="4" state="hidden" r:id="rId4"/>
    <sheet name="Exclusión" sheetId="5" r:id="rId5"/>
    <sheet name="Tablas" sheetId="6" state="hidden" r:id="rId6"/>
  </sheets>
  <definedNames/>
  <calcPr fullCalcOnLoad="1"/>
</workbook>
</file>

<file path=xl/comments1.xml><?xml version="1.0" encoding="utf-8"?>
<comments xmlns="http://schemas.openxmlformats.org/spreadsheetml/2006/main">
  <authors>
    <author>aamezquita</author>
  </authors>
  <commentList>
    <comment ref="F8" authorId="0">
      <text>
        <r>
          <rPr>
            <sz val="8"/>
            <rFont val="Tahoma"/>
            <family val="2"/>
          </rPr>
          <t>El criterio de la calculadora es el de cálculo de TIR a partir del precio limpio, conforme MECPlus. El  cálculo de precio limpio a partir de TIR puede presentar diferencias.</t>
        </r>
      </text>
    </comment>
  </commentList>
</comments>
</file>

<file path=xl/sharedStrings.xml><?xml version="1.0" encoding="utf-8"?>
<sst xmlns="http://schemas.openxmlformats.org/spreadsheetml/2006/main" count="102" uniqueCount="84">
  <si>
    <t>Fecha</t>
  </si>
  <si>
    <t>FECHA</t>
  </si>
  <si>
    <t>Precio Limpio</t>
  </si>
  <si>
    <t>Duración Macaulay</t>
  </si>
  <si>
    <t>Duración Modificada</t>
  </si>
  <si>
    <t>Tabla de Amortización Valoración</t>
  </si>
  <si>
    <t>Amortización</t>
  </si>
  <si>
    <t>Fecha de Emisión</t>
  </si>
  <si>
    <t>Serie</t>
  </si>
  <si>
    <t>Días corridos</t>
  </si>
  <si>
    <t>Fecha de liquidación</t>
  </si>
  <si>
    <t>Fecha último pago cupón</t>
  </si>
  <si>
    <t>Valor Par</t>
  </si>
  <si>
    <t>Próximo pago de interés</t>
  </si>
  <si>
    <t>Días entre flujos</t>
  </si>
  <si>
    <t>Cupón corrido</t>
  </si>
  <si>
    <t>VPN</t>
  </si>
  <si>
    <t>Días 365</t>
  </si>
  <si>
    <t>Precio limpio</t>
  </si>
  <si>
    <t>Vida Media Restante</t>
  </si>
  <si>
    <t>Vida Media desde Emisión</t>
  </si>
  <si>
    <t>Nemo MEC</t>
  </si>
  <si>
    <t>Emisión</t>
  </si>
  <si>
    <t>Vencimiento contractual</t>
  </si>
  <si>
    <t>Cupón EA</t>
  </si>
  <si>
    <t>Moneda</t>
  </si>
  <si>
    <t>COP</t>
  </si>
  <si>
    <t>Características</t>
  </si>
  <si>
    <t>Nemotécnico MEC</t>
  </si>
  <si>
    <t>Control</t>
  </si>
  <si>
    <t>Mes inicial</t>
  </si>
  <si>
    <t>Seleccionar la serie</t>
  </si>
  <si>
    <t>Cálculo de precio y rentabilidad</t>
  </si>
  <si>
    <t>Tasa de Descuento EA</t>
  </si>
  <si>
    <t>Vencimiento Contractual</t>
  </si>
  <si>
    <t>Tasa Facial Efectiva Anual</t>
  </si>
  <si>
    <t>Tasa Facial Mes Vencido</t>
  </si>
  <si>
    <t>Precio Sucio</t>
  </si>
  <si>
    <t>Contractual</t>
  </si>
  <si>
    <t>Valoración</t>
  </si>
  <si>
    <t>Vencimiento Estimado</t>
  </si>
  <si>
    <t>Días iniciales</t>
  </si>
  <si>
    <t>Nominal</t>
  </si>
  <si>
    <t>Contravalor</t>
  </si>
  <si>
    <t>Precio unitario</t>
  </si>
  <si>
    <t>Cálculo de tasa y precio sucio a partir del limpio</t>
  </si>
  <si>
    <t>Restante por 100 de Inicial</t>
  </si>
  <si>
    <t>Nominal Restante a transar</t>
  </si>
  <si>
    <t>Escenario de Prepagos</t>
  </si>
  <si>
    <t>Precio sucio MEC</t>
  </si>
  <si>
    <t>Precio sucio modelo</t>
  </si>
  <si>
    <t>Diferencia</t>
  </si>
  <si>
    <t>Tasa de descuento equivalente</t>
  </si>
  <si>
    <t>Tasa de descuento</t>
  </si>
  <si>
    <t>Factor Saldo</t>
  </si>
  <si>
    <t>Factor Capital</t>
  </si>
  <si>
    <t>Factor Intereses</t>
  </si>
  <si>
    <t>Factor Total</t>
  </si>
  <si>
    <t>Saldo</t>
  </si>
  <si>
    <t>Totales</t>
  </si>
  <si>
    <t>Flujo de Capital</t>
  </si>
  <si>
    <t>Flujo de Intereses</t>
  </si>
  <si>
    <t>Flujo Total</t>
  </si>
  <si>
    <t>Cálculo de precio limpio y sucio a partir de tasa</t>
  </si>
  <si>
    <t>Contravalor (Valoración)</t>
  </si>
  <si>
    <t>6% (Medio)</t>
  </si>
  <si>
    <t>10% (Medio Alto)</t>
  </si>
  <si>
    <t>14% (Alto)</t>
  </si>
  <si>
    <t>Escenario de Amortización Contractual</t>
  </si>
  <si>
    <t>Escenario de Prepago  6% (Medio)</t>
  </si>
  <si>
    <t>Escenario de Prepago  10% (Medio Alto)</t>
  </si>
  <si>
    <t>Escenario de Prepago  14% (Alto)</t>
  </si>
  <si>
    <t>Escenario de Prepago  20%</t>
  </si>
  <si>
    <t>Días Hábiles</t>
  </si>
  <si>
    <t>Celdas modificables</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</si>
  <si>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</si>
  <si>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</si>
  <si>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Exclusión de responsabilidad</t>
  </si>
  <si>
    <t>Volver</t>
  </si>
  <si>
    <t>TIPS Pesos E-14 A 2020</t>
  </si>
  <si>
    <t>IRST10220420</t>
  </si>
  <si>
    <t>CALCULADORA DE PRECIOS TIPS PESOS E-14</t>
  </si>
  <si>
    <t>COF80TI01525</t>
  </si>
  <si>
    <t xml:space="preserve">Nominal Inicial </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</si>
</sst>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0.00000%"/>
    <numFmt numFmtId="183" formatCode="0.000%"/>
    <numFmt numFmtId="184" formatCode="_ * #,##0_ ;_ * \-#,##0_ ;_ * &quot;-&quot;??_ ;_ @_ "/>
    <numFmt numFmtId="185" formatCode="0.000000000%"/>
    <numFmt numFmtId="186" formatCode="0.0000000%"/>
    <numFmt numFmtId="187" formatCode="#,##0.000000_ ;\-#,##0.000000\ "/>
    <numFmt numFmtId="188" formatCode="#,##0.000_ ;\-#,##0.000\ "/>
    <numFmt numFmtId="189" formatCode="0.0000%"/>
    <numFmt numFmtId="190" formatCode="_-* #,##0\ _p_t_a_-;\-* #,##0\ _p_t_a_-;_-* &quot;-&quot;??\ _p_t_a_-;_-@_-"/>
    <numFmt numFmtId="191" formatCode="0.000000%"/>
    <numFmt numFmtId="192" formatCode="_ * #,##0.000_ ;_ * \-#,##0.000_ ;_ * &quot;-&quot;???_ ;_ @_ "/>
    <numFmt numFmtId="193" formatCode="_ * #,##0.000_ ;_ * \-#,##0.000_ ;_ * &quot;-&quot;??_ ;_ @_ "/>
    <numFmt numFmtId="194" formatCode="_ * #,##0.0000_ ;_ * \-#,##0.0000_ ;_ * &quot;-&quot;??_ ;_ @_ "/>
    <numFmt numFmtId="195" formatCode="_ * #,##0.00000_ ;_ * \-#,##0.00000_ ;_ * &quot;-&quot;??_ ;_ @_ "/>
    <numFmt numFmtId="196" formatCode="_ * #,##0.000000_ ;_ * \-#,##0.000000_ ;_ * &quot;-&quot;??_ ;_ @_ "/>
    <numFmt numFmtId="197" formatCode="#,##0_ ;\-#,##0\ "/>
    <numFmt numFmtId="198" formatCode="_ * #,##0.0000_ ;_ * \-#,##0.0000_ ;_ * &quot;-&quot;????_ ;_ @_ "/>
    <numFmt numFmtId="199" formatCode="0.000"/>
    <numFmt numFmtId="200" formatCode="0.0000"/>
    <numFmt numFmtId="201" formatCode="0.00000"/>
    <numFmt numFmtId="202" formatCode="0.000000"/>
    <numFmt numFmtId="203" formatCode="0.0000000"/>
    <numFmt numFmtId="204" formatCode="0.00000000"/>
    <numFmt numFmtId="205" formatCode="[$-240A]dddd\,\ dd&quot; de &quot;mmmm&quot; de &quot;yyyy"/>
    <numFmt numFmtId="206" formatCode="_-* #,##0.000\ _p_t_a_-;\-* #,##0.000\ _p_t_a_-;_-* &quot;-&quot;??\ _p_t_a_-;_-@_-"/>
    <numFmt numFmtId="207" formatCode="_-* #,##0.0000\ _p_t_a_-;\-* #,##0.0000\ _p_t_a_-;_-* &quot;-&quot;??\ _p_t_a_-;_-@_-"/>
    <numFmt numFmtId="208" formatCode="_-* #,##0.00000\ _p_t_a_-;\-* #,##0.00000\ _p_t_a_-;_-* &quot;-&quot;??\ _p_t_a_-;_-@_-"/>
    <numFmt numFmtId="209" formatCode="0.0%"/>
    <numFmt numFmtId="210" formatCode="mmm\-yyyy"/>
    <numFmt numFmtId="211" formatCode="0.000000000000%"/>
    <numFmt numFmtId="212" formatCode="0.0000000000000%"/>
    <numFmt numFmtId="213" formatCode="[$-240A]hh:mm:ss\ AM/PM"/>
  </numFmts>
  <fonts count="54">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1"/>
      <name val="Arial"/>
      <family val="2"/>
    </font>
    <font>
      <sz val="11"/>
      <name val="Arial"/>
      <family val="2"/>
    </font>
    <font>
      <b/>
      <sz val="11"/>
      <color indexed="10"/>
      <name val="Arial"/>
      <family val="2"/>
    </font>
    <font>
      <sz val="11"/>
      <name val="Tahoma"/>
      <family val="2"/>
    </font>
    <font>
      <sz val="11"/>
      <color indexed="18"/>
      <name val="Tahoma"/>
      <family val="2"/>
    </font>
    <font>
      <b/>
      <sz val="11"/>
      <color indexed="8"/>
      <name val="Tahoma"/>
      <family val="2"/>
    </font>
    <font>
      <b/>
      <sz val="11"/>
      <name val="Tahoma"/>
      <family val="2"/>
    </font>
    <font>
      <b/>
      <sz val="11"/>
      <color indexed="9"/>
      <name val="Tahoma"/>
      <family val="2"/>
    </font>
    <font>
      <b/>
      <sz val="11"/>
      <color indexed="18"/>
      <name val="Tahoma"/>
      <family val="2"/>
    </font>
    <font>
      <b/>
      <sz val="11"/>
      <color indexed="10"/>
      <name val="Tahoma"/>
      <family val="2"/>
    </font>
    <font>
      <b/>
      <sz val="11"/>
      <color indexed="18"/>
      <name val="Arial"/>
      <family val="2"/>
    </font>
    <font>
      <sz val="8"/>
      <name val="Tahoma"/>
      <family val="2"/>
    </font>
    <font>
      <b/>
      <sz val="10"/>
      <name val="Tahoma"/>
      <family val="2"/>
    </font>
    <font>
      <u val="single"/>
      <sz val="8"/>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rgb="FF00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2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medium"/>
      <top>
        <color indexed="63"/>
      </top>
      <bottom>
        <color indexed="63"/>
      </bottom>
    </border>
    <border>
      <left style="thin">
        <color indexed="22"/>
      </left>
      <right style="thin">
        <color indexed="22"/>
      </right>
      <top style="thin">
        <color indexed="22"/>
      </top>
      <bottom style="thin">
        <color indexed="22"/>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color indexed="22"/>
      </top>
      <bottom style="thin">
        <color indexed="22"/>
      </bottom>
    </border>
    <border>
      <left style="thin">
        <color indexed="22"/>
      </left>
      <right>
        <color indexed="63"/>
      </right>
      <top style="thin">
        <color indexed="22"/>
      </top>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88">
    <xf numFmtId="0" fontId="0" fillId="0" borderId="0" xfId="0" applyAlignment="1">
      <alignment/>
    </xf>
    <xf numFmtId="0" fontId="8" fillId="0" borderId="0" xfId="0" applyFont="1" applyAlignment="1" applyProtection="1">
      <alignment/>
      <protection hidden="1"/>
    </xf>
    <xf numFmtId="0" fontId="8"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13" fillId="33" borderId="0" xfId="0" applyFont="1" applyFill="1" applyBorder="1" applyAlignment="1" applyProtection="1">
      <alignment horizontal="left" vertical="center" indent="14"/>
      <protection hidden="1"/>
    </xf>
    <xf numFmtId="0" fontId="10" fillId="33" borderId="0" xfId="0" applyFont="1" applyFill="1" applyBorder="1" applyAlignment="1" applyProtection="1">
      <alignment horizontal="left" vertical="center" indent="14"/>
      <protection hidden="1"/>
    </xf>
    <xf numFmtId="0" fontId="8" fillId="0" borderId="0" xfId="0" applyFont="1" applyFill="1" applyAlignment="1" applyProtection="1">
      <alignment/>
      <protection hidden="1"/>
    </xf>
    <xf numFmtId="14" fontId="8" fillId="34" borderId="0" xfId="0" applyNumberFormat="1" applyFont="1" applyFill="1" applyAlignment="1" applyProtection="1">
      <alignment/>
      <protection hidden="1"/>
    </xf>
    <xf numFmtId="14" fontId="8" fillId="0" borderId="0" xfId="0" applyNumberFormat="1" applyFont="1" applyFill="1" applyBorder="1" applyAlignment="1" applyProtection="1">
      <alignment/>
      <protection hidden="1"/>
    </xf>
    <xf numFmtId="0" fontId="10" fillId="33" borderId="0" xfId="0" applyFont="1" applyFill="1" applyBorder="1" applyAlignment="1" applyProtection="1">
      <alignment vertical="center"/>
      <protection hidden="1"/>
    </xf>
    <xf numFmtId="0" fontId="8" fillId="33" borderId="10" xfId="0" applyFont="1" applyFill="1" applyBorder="1" applyAlignment="1" applyProtection="1">
      <alignment/>
      <protection hidden="1"/>
    </xf>
    <xf numFmtId="0" fontId="12" fillId="35" borderId="11" xfId="0" applyFont="1" applyFill="1" applyBorder="1" applyAlignment="1" applyProtection="1">
      <alignment horizontal="left"/>
      <protection hidden="1"/>
    </xf>
    <xf numFmtId="0" fontId="12" fillId="35" borderId="12" xfId="0" applyFont="1" applyFill="1" applyBorder="1" applyAlignment="1" applyProtection="1">
      <alignment horizontal="left"/>
      <protection hidden="1"/>
    </xf>
    <xf numFmtId="0" fontId="8" fillId="0" borderId="0" xfId="0" applyFont="1" applyBorder="1" applyAlignment="1" applyProtection="1">
      <alignment/>
      <protection hidden="1"/>
    </xf>
    <xf numFmtId="0" fontId="8" fillId="0" borderId="13" xfId="0" applyFont="1" applyBorder="1" applyAlignment="1" applyProtection="1">
      <alignment/>
      <protection hidden="1"/>
    </xf>
    <xf numFmtId="0" fontId="12" fillId="35" borderId="14" xfId="0" applyFont="1" applyFill="1" applyBorder="1" applyAlignment="1" applyProtection="1">
      <alignment horizontal="left"/>
      <protection hidden="1"/>
    </xf>
    <xf numFmtId="0" fontId="8" fillId="0" borderId="14" xfId="0" applyFont="1" applyBorder="1" applyAlignment="1" applyProtection="1">
      <alignment/>
      <protection hidden="1"/>
    </xf>
    <xf numFmtId="9" fontId="8" fillId="0" borderId="0" xfId="0" applyNumberFormat="1" applyFont="1" applyFill="1" applyBorder="1" applyAlignment="1" applyProtection="1">
      <alignment horizontal="left"/>
      <protection hidden="1"/>
    </xf>
    <xf numFmtId="0" fontId="8" fillId="0" borderId="15" xfId="0" applyFont="1" applyBorder="1" applyAlignment="1" applyProtection="1">
      <alignment/>
      <protection hidden="1"/>
    </xf>
    <xf numFmtId="14" fontId="8" fillId="0" borderId="16" xfId="0" applyNumberFormat="1" applyFont="1" applyBorder="1" applyAlignment="1" applyProtection="1">
      <alignment/>
      <protection hidden="1"/>
    </xf>
    <xf numFmtId="14" fontId="8" fillId="0" borderId="17" xfId="0" applyNumberFormat="1" applyFont="1" applyBorder="1" applyAlignment="1" applyProtection="1">
      <alignment horizontal="right" indent="1"/>
      <protection hidden="1"/>
    </xf>
    <xf numFmtId="0" fontId="8" fillId="0" borderId="10" xfId="0" applyFont="1" applyBorder="1" applyAlignment="1" applyProtection="1">
      <alignment/>
      <protection hidden="1"/>
    </xf>
    <xf numFmtId="14" fontId="8" fillId="0" borderId="15" xfId="0" applyNumberFormat="1" applyFont="1" applyBorder="1" applyAlignment="1" applyProtection="1">
      <alignment/>
      <protection hidden="1"/>
    </xf>
    <xf numFmtId="14" fontId="8" fillId="0" borderId="10" xfId="0" applyNumberFormat="1" applyFont="1" applyBorder="1" applyAlignment="1" applyProtection="1">
      <alignment horizontal="right" indent="1"/>
      <protection hidden="1"/>
    </xf>
    <xf numFmtId="0" fontId="14" fillId="34" borderId="15" xfId="0" applyFont="1" applyFill="1" applyBorder="1" applyAlignment="1" applyProtection="1">
      <alignment/>
      <protection hidden="1"/>
    </xf>
    <xf numFmtId="14" fontId="8" fillId="0" borderId="10" xfId="0" applyNumberFormat="1" applyFont="1" applyBorder="1" applyAlignment="1" applyProtection="1">
      <alignment horizontal="center"/>
      <protection hidden="1"/>
    </xf>
    <xf numFmtId="0" fontId="13" fillId="34" borderId="15" xfId="0" applyFont="1" applyFill="1" applyBorder="1" applyAlignment="1" applyProtection="1">
      <alignment/>
      <protection hidden="1"/>
    </xf>
    <xf numFmtId="0" fontId="8" fillId="0" borderId="18" xfId="0" applyFont="1" applyBorder="1" applyAlignment="1" applyProtection="1">
      <alignment/>
      <protection hidden="1"/>
    </xf>
    <xf numFmtId="183" fontId="8" fillId="0" borderId="10" xfId="54" applyNumberFormat="1" applyFont="1" applyBorder="1" applyAlignment="1" applyProtection="1">
      <alignment horizontal="right" indent="1"/>
      <protection hidden="1"/>
    </xf>
    <xf numFmtId="14" fontId="11" fillId="0" borderId="10" xfId="0" applyNumberFormat="1" applyFont="1" applyBorder="1" applyAlignment="1" applyProtection="1">
      <alignment horizontal="right" indent="1"/>
      <protection hidden="1"/>
    </xf>
    <xf numFmtId="187" fontId="8" fillId="0" borderId="10" xfId="48" applyNumberFormat="1" applyFont="1" applyBorder="1" applyAlignment="1" applyProtection="1">
      <alignment horizontal="right" indent="1"/>
      <protection hidden="1"/>
    </xf>
    <xf numFmtId="14" fontId="8" fillId="0" borderId="18" xfId="0" applyNumberFormat="1" applyFont="1" applyBorder="1" applyAlignment="1" applyProtection="1">
      <alignment/>
      <protection hidden="1"/>
    </xf>
    <xf numFmtId="14" fontId="8" fillId="0" borderId="19" xfId="0" applyNumberFormat="1" applyFont="1" applyBorder="1" applyAlignment="1" applyProtection="1">
      <alignment horizontal="right" indent="1"/>
      <protection hidden="1"/>
    </xf>
    <xf numFmtId="2" fontId="13" fillId="33" borderId="17" xfId="0" applyNumberFormat="1" applyFont="1" applyFill="1" applyBorder="1" applyAlignment="1" applyProtection="1">
      <alignment horizontal="right" indent="1"/>
      <protection hidden="1"/>
    </xf>
    <xf numFmtId="14" fontId="8" fillId="0" borderId="20" xfId="0" applyNumberFormat="1" applyFont="1" applyBorder="1" applyAlignment="1" applyProtection="1">
      <alignment/>
      <protection hidden="1"/>
    </xf>
    <xf numFmtId="0" fontId="13" fillId="33" borderId="15" xfId="0" applyFont="1" applyFill="1" applyBorder="1" applyAlignment="1" applyProtection="1">
      <alignment/>
      <protection hidden="1"/>
    </xf>
    <xf numFmtId="2" fontId="13" fillId="33" borderId="10" xfId="0" applyNumberFormat="1" applyFont="1" applyFill="1" applyBorder="1" applyAlignment="1" applyProtection="1">
      <alignment horizontal="right" indent="1"/>
      <protection hidden="1"/>
    </xf>
    <xf numFmtId="2" fontId="13" fillId="33" borderId="0" xfId="0" applyNumberFormat="1" applyFont="1" applyFill="1" applyBorder="1" applyAlignment="1" applyProtection="1">
      <alignment horizontal="center"/>
      <protection hidden="1"/>
    </xf>
    <xf numFmtId="0" fontId="13" fillId="33" borderId="18" xfId="0" applyFont="1" applyFill="1" applyBorder="1" applyAlignment="1" applyProtection="1">
      <alignment/>
      <protection hidden="1"/>
    </xf>
    <xf numFmtId="2" fontId="13" fillId="33" borderId="19" xfId="0" applyNumberFormat="1" applyFont="1" applyFill="1" applyBorder="1" applyAlignment="1" applyProtection="1">
      <alignment horizontal="right" indent="1"/>
      <protection hidden="1"/>
    </xf>
    <xf numFmtId="14" fontId="8" fillId="0" borderId="0" xfId="0" applyNumberFormat="1" applyFont="1" applyFill="1" applyAlignment="1" applyProtection="1">
      <alignment/>
      <protection hidden="1"/>
    </xf>
    <xf numFmtId="0" fontId="0" fillId="0" borderId="0" xfId="0" applyFont="1" applyFill="1" applyBorder="1" applyAlignment="1" applyProtection="1">
      <alignment/>
      <protection hidden="1"/>
    </xf>
    <xf numFmtId="185" fontId="0" fillId="0" borderId="21" xfId="54" applyNumberFormat="1" applyFont="1" applyFill="1" applyBorder="1" applyAlignment="1" applyProtection="1">
      <alignment horizontal="center"/>
      <protection hidden="1"/>
    </xf>
    <xf numFmtId="191" fontId="0" fillId="0" borderId="0" xfId="0" applyNumberFormat="1" applyFont="1" applyFill="1" applyBorder="1" applyAlignment="1" applyProtection="1">
      <alignment horizontal="center"/>
      <protection hidden="1"/>
    </xf>
    <xf numFmtId="183" fontId="14" fillId="34" borderId="10" xfId="0" applyNumberFormat="1" applyFont="1" applyFill="1" applyBorder="1" applyAlignment="1" applyProtection="1">
      <alignment horizontal="right" indent="1"/>
      <protection hidden="1" locked="0"/>
    </xf>
    <xf numFmtId="188" fontId="13" fillId="34" borderId="10" xfId="48" applyNumberFormat="1" applyFont="1" applyFill="1" applyBorder="1" applyAlignment="1" applyProtection="1">
      <alignment horizontal="right" indent="1"/>
      <protection hidden="1" locked="0"/>
    </xf>
    <xf numFmtId="197" fontId="9" fillId="34" borderId="10" xfId="48" applyNumberFormat="1" applyFont="1" applyFill="1" applyBorder="1" applyAlignment="1" applyProtection="1">
      <alignment horizontal="right" indent="1"/>
      <protection hidden="1" locked="0"/>
    </xf>
    <xf numFmtId="0" fontId="13" fillId="33" borderId="16" xfId="0" applyFont="1" applyFill="1" applyBorder="1" applyAlignment="1" applyProtection="1">
      <alignment/>
      <protection hidden="1"/>
    </xf>
    <xf numFmtId="0" fontId="17" fillId="34" borderId="0" xfId="0" applyFont="1" applyFill="1" applyBorder="1" applyAlignment="1" applyProtection="1">
      <alignment horizontal="center"/>
      <protection hidden="1"/>
    </xf>
    <xf numFmtId="14" fontId="13" fillId="34" borderId="22" xfId="0" applyNumberFormat="1" applyFont="1" applyFill="1" applyBorder="1" applyAlignment="1" applyProtection="1">
      <alignment horizontal="center"/>
      <protection hidden="1" locked="0"/>
    </xf>
    <xf numFmtId="0" fontId="11" fillId="34" borderId="16" xfId="0" applyFont="1" applyFill="1" applyBorder="1" applyAlignment="1" applyProtection="1">
      <alignment/>
      <protection hidden="1"/>
    </xf>
    <xf numFmtId="0" fontId="11" fillId="33" borderId="13" xfId="0" applyFont="1" applyFill="1" applyBorder="1" applyAlignment="1" applyProtection="1">
      <alignment/>
      <protection hidden="1"/>
    </xf>
    <xf numFmtId="9" fontId="11" fillId="34" borderId="17" xfId="54" applyFont="1" applyFill="1" applyBorder="1" applyAlignment="1" applyProtection="1">
      <alignment horizontal="right" indent="1"/>
      <protection hidden="1" locked="0"/>
    </xf>
    <xf numFmtId="197" fontId="8" fillId="0" borderId="19" xfId="48" applyNumberFormat="1" applyFont="1" applyBorder="1" applyAlignment="1" applyProtection="1">
      <alignment horizontal="right" indent="1"/>
      <protection hidden="1"/>
    </xf>
    <xf numFmtId="0" fontId="18" fillId="0" borderId="0" xfId="45" applyFont="1" applyBorder="1" applyAlignment="1" applyProtection="1">
      <alignment horizontal="center" vertical="center"/>
      <protection hidden="1"/>
    </xf>
    <xf numFmtId="0" fontId="8" fillId="0" borderId="10" xfId="0" applyNumberFormat="1" applyFont="1" applyBorder="1" applyAlignment="1" applyProtection="1">
      <alignment horizontal="right" indent="1"/>
      <protection hidden="1"/>
    </xf>
    <xf numFmtId="0" fontId="0" fillId="0" borderId="23"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0" fontId="0" fillId="0" borderId="24" xfId="0" applyFont="1" applyFill="1" applyBorder="1" applyAlignment="1" applyProtection="1">
      <alignment horizontal="center"/>
      <protection hidden="1"/>
    </xf>
    <xf numFmtId="14" fontId="0" fillId="0" borderId="24" xfId="0" applyNumberFormat="1" applyFont="1" applyFill="1" applyBorder="1" applyAlignment="1" applyProtection="1">
      <alignment horizontal="center"/>
      <protection hidden="1"/>
    </xf>
    <xf numFmtId="10" fontId="0" fillId="0" borderId="24" xfId="0" applyNumberFormat="1" applyFont="1" applyFill="1" applyBorder="1" applyAlignment="1" applyProtection="1">
      <alignment horizontal="center"/>
      <protection hidden="1"/>
    </xf>
    <xf numFmtId="0" fontId="0" fillId="0" borderId="25"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26" xfId="0" applyFont="1" applyFill="1" applyBorder="1" applyAlignment="1" applyProtection="1">
      <alignment/>
      <protection hidden="1"/>
    </xf>
    <xf numFmtId="14" fontId="0" fillId="0" borderId="24" xfId="0" applyNumberFormat="1" applyFont="1" applyFill="1" applyBorder="1" applyAlignment="1" applyProtection="1">
      <alignment/>
      <protection hidden="1"/>
    </xf>
    <xf numFmtId="196" fontId="0" fillId="0" borderId="24" xfId="48" applyNumberFormat="1" applyFont="1" applyFill="1" applyBorder="1" applyAlignment="1" applyProtection="1">
      <alignment horizontal="right"/>
      <protection hidden="1"/>
    </xf>
    <xf numFmtId="184" fontId="0" fillId="0" borderId="24" xfId="48" applyNumberFormat="1" applyFont="1" applyFill="1" applyBorder="1" applyAlignment="1" applyProtection="1">
      <alignment horizontal="right"/>
      <protection hidden="1"/>
    </xf>
    <xf numFmtId="194" fontId="0" fillId="0" borderId="24" xfId="48" applyNumberFormat="1" applyFont="1" applyFill="1" applyBorder="1" applyAlignment="1" applyProtection="1">
      <alignment horizontal="right"/>
      <protection hidden="1"/>
    </xf>
    <xf numFmtId="193" fontId="0" fillId="0" borderId="24" xfId="48" applyNumberFormat="1" applyFont="1" applyFill="1" applyBorder="1" applyAlignment="1" applyProtection="1">
      <alignment horizontal="right"/>
      <protection hidden="1"/>
    </xf>
    <xf numFmtId="171" fontId="0" fillId="0" borderId="24" xfId="48" applyNumberFormat="1" applyFont="1" applyFill="1" applyBorder="1" applyAlignment="1" applyProtection="1">
      <alignment horizontal="right"/>
      <protection hidden="1"/>
    </xf>
    <xf numFmtId="184" fontId="0" fillId="0" borderId="0" xfId="0" applyNumberFormat="1" applyFont="1" applyFill="1" applyBorder="1" applyAlignment="1" applyProtection="1">
      <alignment horizontal="center"/>
      <protection hidden="1"/>
    </xf>
    <xf numFmtId="195" fontId="0" fillId="0" borderId="24" xfId="48" applyNumberFormat="1" applyFont="1" applyFill="1" applyBorder="1" applyAlignment="1" applyProtection="1">
      <alignment horizontal="right"/>
      <protection hidden="1"/>
    </xf>
    <xf numFmtId="193" fontId="0" fillId="0" borderId="0" xfId="0" applyNumberFormat="1" applyFont="1" applyFill="1" applyBorder="1" applyAlignment="1" applyProtection="1">
      <alignment horizontal="center"/>
      <protection hidden="1"/>
    </xf>
    <xf numFmtId="0" fontId="0" fillId="0" borderId="27" xfId="0" applyFont="1" applyFill="1" applyBorder="1" applyAlignment="1" applyProtection="1">
      <alignment/>
      <protection hidden="1"/>
    </xf>
    <xf numFmtId="183" fontId="0" fillId="0" borderId="25" xfId="54" applyNumberFormat="1" applyFont="1" applyFill="1" applyBorder="1" applyAlignment="1" applyProtection="1">
      <alignment horizontal="right"/>
      <protection hidden="1"/>
    </xf>
    <xf numFmtId="183" fontId="0" fillId="0" borderId="24" xfId="54" applyNumberFormat="1" applyFont="1" applyFill="1" applyBorder="1" applyAlignment="1" applyProtection="1">
      <alignment horizontal="right"/>
      <protection hidden="1"/>
    </xf>
    <xf numFmtId="190" fontId="0" fillId="0" borderId="0" xfId="48" applyNumberFormat="1" applyFont="1" applyFill="1" applyBorder="1" applyAlignment="1" applyProtection="1">
      <alignment/>
      <protection hidden="1"/>
    </xf>
    <xf numFmtId="171" fontId="0" fillId="0" borderId="0" xfId="0" applyNumberFormat="1" applyFont="1" applyFill="1" applyBorder="1" applyAlignment="1" applyProtection="1">
      <alignment/>
      <protection hidden="1"/>
    </xf>
    <xf numFmtId="196" fontId="0" fillId="0" borderId="0" xfId="0" applyNumberFormat="1" applyFont="1" applyFill="1" applyBorder="1" applyAlignment="1" applyProtection="1">
      <alignment horizontal="center"/>
      <protection hidden="1"/>
    </xf>
    <xf numFmtId="193" fontId="0" fillId="0" borderId="25" xfId="0" applyNumberFormat="1" applyFont="1" applyFill="1" applyBorder="1" applyAlignment="1" applyProtection="1">
      <alignment horizontal="center"/>
      <protection hidden="1"/>
    </xf>
    <xf numFmtId="194" fontId="0" fillId="0" borderId="0" xfId="0" applyNumberFormat="1" applyFont="1" applyFill="1" applyBorder="1" applyAlignment="1" applyProtection="1">
      <alignment horizontal="center"/>
      <protection hidden="1"/>
    </xf>
    <xf numFmtId="198" fontId="0" fillId="0" borderId="0" xfId="0" applyNumberFormat="1" applyFont="1" applyFill="1" applyBorder="1" applyAlignment="1" applyProtection="1">
      <alignment horizontal="center"/>
      <protection hidden="1"/>
    </xf>
    <xf numFmtId="0" fontId="0" fillId="0" borderId="28" xfId="0" applyFont="1" applyFill="1" applyBorder="1" applyAlignment="1" applyProtection="1">
      <alignment/>
      <protection hidden="1"/>
    </xf>
    <xf numFmtId="2" fontId="4" fillId="0" borderId="29" xfId="54" applyNumberFormat="1" applyFont="1" applyFill="1" applyBorder="1" applyAlignment="1" applyProtection="1">
      <alignment horizontal="center" vertical="center"/>
      <protection hidden="1"/>
    </xf>
    <xf numFmtId="182" fontId="4" fillId="0" borderId="30" xfId="54" applyNumberFormat="1" applyFont="1" applyFill="1" applyBorder="1" applyAlignment="1" applyProtection="1">
      <alignment horizontal="center" vertical="center"/>
      <protection hidden="1"/>
    </xf>
    <xf numFmtId="2" fontId="4" fillId="0" borderId="30" xfId="54" applyNumberFormat="1" applyFont="1" applyFill="1" applyBorder="1" applyAlignment="1" applyProtection="1">
      <alignment horizontal="center" vertical="center"/>
      <protection hidden="1"/>
    </xf>
    <xf numFmtId="182" fontId="4" fillId="0" borderId="31" xfId="54" applyNumberFormat="1"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0" fontId="4" fillId="0" borderId="33" xfId="0" applyFont="1" applyFill="1" applyBorder="1" applyAlignment="1" applyProtection="1">
      <alignment horizontal="center" vertical="center"/>
      <protection hidden="1"/>
    </xf>
    <xf numFmtId="2" fontId="4" fillId="0" borderId="33" xfId="54" applyNumberFormat="1"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14" fontId="0" fillId="0" borderId="34" xfId="0" applyNumberFormat="1" applyFont="1" applyFill="1" applyBorder="1" applyAlignment="1" applyProtection="1">
      <alignment horizontal="center"/>
      <protection hidden="1"/>
    </xf>
    <xf numFmtId="169" fontId="0" fillId="0" borderId="35" xfId="48" applyNumberFormat="1" applyFont="1" applyFill="1" applyBorder="1" applyAlignment="1" applyProtection="1">
      <alignment horizontal="center"/>
      <protection hidden="1"/>
    </xf>
    <xf numFmtId="191" fontId="0" fillId="0" borderId="35" xfId="54" applyNumberFormat="1" applyFont="1" applyFill="1" applyBorder="1" applyAlignment="1" applyProtection="1">
      <alignment/>
      <protection hidden="1"/>
    </xf>
    <xf numFmtId="196" fontId="0" fillId="0" borderId="35" xfId="48" applyNumberFormat="1" applyFont="1" applyFill="1" applyBorder="1" applyAlignment="1" applyProtection="1">
      <alignment/>
      <protection hidden="1"/>
    </xf>
    <xf numFmtId="196" fontId="0" fillId="0" borderId="35" xfId="48" applyNumberFormat="1" applyFont="1" applyFill="1" applyBorder="1" applyAlignment="1" applyProtection="1">
      <alignment horizontal="right"/>
      <protection hidden="1"/>
    </xf>
    <xf numFmtId="196" fontId="0" fillId="0" borderId="36" xfId="48" applyNumberFormat="1" applyFont="1" applyFill="1" applyBorder="1" applyAlignment="1" applyProtection="1">
      <alignment horizontal="right"/>
      <protection hidden="1"/>
    </xf>
    <xf numFmtId="14" fontId="0" fillId="0" borderId="35" xfId="0" applyNumberFormat="1" applyFont="1" applyFill="1" applyBorder="1" applyAlignment="1" applyProtection="1">
      <alignment horizontal="center"/>
      <protection hidden="1"/>
    </xf>
    <xf numFmtId="0" fontId="0" fillId="0" borderId="37" xfId="0" applyFont="1" applyFill="1" applyBorder="1" applyAlignment="1" applyProtection="1">
      <alignment horizontal="center"/>
      <protection hidden="1"/>
    </xf>
    <xf numFmtId="171" fontId="0" fillId="0" borderId="35" xfId="0" applyNumberFormat="1" applyFont="1" applyFill="1" applyBorder="1" applyAlignment="1" applyProtection="1">
      <alignment/>
      <protection hidden="1"/>
    </xf>
    <xf numFmtId="171" fontId="0" fillId="0" borderId="37" xfId="0" applyNumberFormat="1" applyFont="1" applyFill="1" applyBorder="1" applyAlignment="1" applyProtection="1">
      <alignment/>
      <protection hidden="1"/>
    </xf>
    <xf numFmtId="0" fontId="0" fillId="0" borderId="0" xfId="0" applyFont="1" applyFill="1" applyAlignment="1" applyProtection="1">
      <alignment/>
      <protection hidden="1"/>
    </xf>
    <xf numFmtId="171" fontId="0" fillId="0" borderId="34" xfId="0" applyNumberFormat="1" applyFont="1" applyFill="1" applyBorder="1" applyAlignment="1" applyProtection="1">
      <alignment/>
      <protection hidden="1"/>
    </xf>
    <xf numFmtId="14" fontId="0" fillId="0" borderId="38" xfId="0" applyNumberFormat="1" applyFont="1" applyFill="1" applyBorder="1" applyAlignment="1" applyProtection="1">
      <alignment horizontal="center"/>
      <protection hidden="1"/>
    </xf>
    <xf numFmtId="0" fontId="0" fillId="0" borderId="39" xfId="0" applyFont="1" applyFill="1" applyBorder="1" applyAlignment="1" applyProtection="1">
      <alignment horizontal="center"/>
      <protection hidden="1"/>
    </xf>
    <xf numFmtId="0" fontId="0" fillId="0" borderId="40" xfId="0" applyFont="1" applyFill="1" applyBorder="1" applyAlignment="1" applyProtection="1">
      <alignment horizontal="center"/>
      <protection hidden="1"/>
    </xf>
    <xf numFmtId="171" fontId="0" fillId="0" borderId="41" xfId="0" applyNumberFormat="1" applyFont="1" applyFill="1" applyBorder="1" applyAlignment="1" applyProtection="1">
      <alignment/>
      <protection hidden="1"/>
    </xf>
    <xf numFmtId="171" fontId="0" fillId="0" borderId="38" xfId="0" applyNumberFormat="1" applyFont="1" applyFill="1" applyBorder="1" applyAlignment="1" applyProtection="1">
      <alignment/>
      <protection hidden="1"/>
    </xf>
    <xf numFmtId="171" fontId="0" fillId="0" borderId="40" xfId="0" applyNumberFormat="1" applyFont="1" applyFill="1" applyBorder="1" applyAlignment="1" applyProtection="1">
      <alignment/>
      <protection hidden="1"/>
    </xf>
    <xf numFmtId="0" fontId="4" fillId="0" borderId="42" xfId="0" applyFont="1" applyFill="1" applyBorder="1" applyAlignment="1" applyProtection="1">
      <alignment horizontal="center"/>
      <protection hidden="1"/>
    </xf>
    <xf numFmtId="0" fontId="4" fillId="0" borderId="32" xfId="0" applyFont="1" applyFill="1" applyBorder="1" applyAlignment="1" applyProtection="1">
      <alignment/>
      <protection hidden="1"/>
    </xf>
    <xf numFmtId="191" fontId="4" fillId="0" borderId="30" xfId="54" applyNumberFormat="1" applyFont="1" applyFill="1" applyBorder="1" applyAlignment="1" applyProtection="1">
      <alignment/>
      <protection hidden="1"/>
    </xf>
    <xf numFmtId="196" fontId="4" fillId="0" borderId="32" xfId="0" applyNumberFormat="1" applyFont="1" applyFill="1" applyBorder="1" applyAlignment="1" applyProtection="1">
      <alignment/>
      <protection hidden="1"/>
    </xf>
    <xf numFmtId="196" fontId="4" fillId="0" borderId="31" xfId="48" applyNumberFormat="1" applyFont="1" applyFill="1" applyBorder="1" applyAlignment="1" applyProtection="1">
      <alignment/>
      <protection hidden="1"/>
    </xf>
    <xf numFmtId="196" fontId="4" fillId="0" borderId="33" xfId="48" applyNumberFormat="1" applyFont="1" applyFill="1" applyBorder="1" applyAlignment="1" applyProtection="1">
      <alignment/>
      <protection hidden="1"/>
    </xf>
    <xf numFmtId="0" fontId="0" fillId="0" borderId="0" xfId="0" applyFont="1" applyFill="1" applyAlignment="1" applyProtection="1">
      <alignment horizontal="center"/>
      <protection hidden="1"/>
    </xf>
    <xf numFmtId="171" fontId="4" fillId="0" borderId="29" xfId="0" applyNumberFormat="1" applyFont="1" applyFill="1" applyBorder="1" applyAlignment="1" applyProtection="1">
      <alignment/>
      <protection hidden="1"/>
    </xf>
    <xf numFmtId="171" fontId="4" fillId="0" borderId="31" xfId="48" applyNumberFormat="1" applyFont="1" applyFill="1" applyBorder="1" applyAlignment="1" applyProtection="1">
      <alignment/>
      <protection hidden="1"/>
    </xf>
    <xf numFmtId="171" fontId="4" fillId="0" borderId="33" xfId="48" applyNumberFormat="1" applyFont="1" applyFill="1" applyBorder="1" applyAlignment="1" applyProtection="1">
      <alignment/>
      <protection hidden="1"/>
    </xf>
    <xf numFmtId="2" fontId="0" fillId="0" borderId="0" xfId="0" applyNumberFormat="1" applyFont="1" applyFill="1" applyAlignment="1" applyProtection="1">
      <alignment/>
      <protection hidden="1"/>
    </xf>
    <xf numFmtId="182" fontId="0" fillId="0" borderId="43" xfId="54" applyNumberFormat="1" applyFont="1" applyFill="1" applyBorder="1" applyAlignment="1" applyProtection="1">
      <alignment horizontal="center"/>
      <protection hidden="1"/>
    </xf>
    <xf numFmtId="14" fontId="0" fillId="0" borderId="28" xfId="54" applyNumberFormat="1" applyFont="1" applyFill="1" applyBorder="1" applyAlignment="1" applyProtection="1">
      <alignment horizontal="center"/>
      <protection hidden="1"/>
    </xf>
    <xf numFmtId="186" fontId="0" fillId="0" borderId="44" xfId="54" applyNumberFormat="1" applyFont="1" applyFill="1" applyBorder="1" applyAlignment="1" applyProtection="1">
      <alignment horizontal="center"/>
      <protection hidden="1"/>
    </xf>
    <xf numFmtId="14" fontId="0" fillId="0" borderId="26" xfId="54" applyNumberFormat="1" applyFont="1" applyFill="1" applyBorder="1" applyAlignment="1" applyProtection="1">
      <alignment horizontal="center"/>
      <protection hidden="1"/>
    </xf>
    <xf numFmtId="186" fontId="0" fillId="0" borderId="21" xfId="54" applyNumberFormat="1" applyFont="1" applyFill="1" applyBorder="1" applyAlignment="1" applyProtection="1">
      <alignment horizontal="center"/>
      <protection hidden="1"/>
    </xf>
    <xf numFmtId="14" fontId="0" fillId="0" borderId="27" xfId="54" applyNumberFormat="1" applyFont="1" applyFill="1" applyBorder="1" applyAlignment="1" applyProtection="1">
      <alignment horizontal="center"/>
      <protection hidden="1"/>
    </xf>
    <xf numFmtId="186" fontId="0" fillId="0" borderId="45" xfId="54" applyNumberFormat="1" applyFont="1" applyFill="1" applyBorder="1" applyAlignment="1" applyProtection="1">
      <alignment horizontal="center"/>
      <protection hidden="1"/>
    </xf>
    <xf numFmtId="0" fontId="0" fillId="0" borderId="43" xfId="0"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5" applyFill="1" applyAlignment="1" applyProtection="1">
      <alignment horizontal="center" vertical="center"/>
      <protection hidden="1"/>
    </xf>
    <xf numFmtId="14" fontId="13" fillId="34" borderId="12" xfId="0" applyNumberFormat="1" applyFont="1" applyFill="1" applyBorder="1" applyAlignment="1" applyProtection="1">
      <alignment horizontal="center"/>
      <protection hidden="1" locked="0"/>
    </xf>
    <xf numFmtId="0" fontId="0" fillId="0" borderId="42" xfId="0" applyFont="1" applyFill="1" applyBorder="1" applyAlignment="1" applyProtection="1">
      <alignment horizontal="center"/>
      <protection hidden="1"/>
    </xf>
    <xf numFmtId="188" fontId="8" fillId="0" borderId="19" xfId="48" applyNumberFormat="1" applyFont="1" applyBorder="1" applyAlignment="1" applyProtection="1">
      <alignment horizontal="right" indent="1"/>
      <protection hidden="1" locked="0"/>
    </xf>
    <xf numFmtId="10" fontId="0" fillId="0" borderId="0" xfId="0" applyNumberFormat="1" applyFont="1" applyFill="1" applyBorder="1" applyAlignment="1" applyProtection="1">
      <alignment horizontal="center"/>
      <protection hidden="1"/>
    </xf>
    <xf numFmtId="171" fontId="0" fillId="0" borderId="34" xfId="48" applyNumberFormat="1" applyFont="1" applyFill="1" applyBorder="1" applyAlignment="1" applyProtection="1">
      <alignment/>
      <protection hidden="1" locked="0"/>
    </xf>
    <xf numFmtId="14" fontId="0" fillId="36" borderId="34" xfId="0" applyNumberFormat="1" applyFont="1" applyFill="1" applyBorder="1" applyAlignment="1" applyProtection="1">
      <alignment horizontal="center"/>
      <protection hidden="1"/>
    </xf>
    <xf numFmtId="169" fontId="0" fillId="36" borderId="35" xfId="48" applyNumberFormat="1" applyFont="1" applyFill="1" applyBorder="1" applyAlignment="1" applyProtection="1">
      <alignment horizontal="center"/>
      <protection hidden="1"/>
    </xf>
    <xf numFmtId="191" fontId="0" fillId="36" borderId="35" xfId="54" applyNumberFormat="1" applyFont="1" applyFill="1" applyBorder="1" applyAlignment="1" applyProtection="1">
      <alignment/>
      <protection hidden="1"/>
    </xf>
    <xf numFmtId="196" fontId="0" fillId="36" borderId="35" xfId="48" applyNumberFormat="1" applyFont="1" applyFill="1" applyBorder="1" applyAlignment="1" applyProtection="1">
      <alignment/>
      <protection hidden="1"/>
    </xf>
    <xf numFmtId="196" fontId="0" fillId="36" borderId="35" xfId="48" applyNumberFormat="1" applyFont="1" applyFill="1" applyBorder="1" applyAlignment="1" applyProtection="1">
      <alignment horizontal="right"/>
      <protection hidden="1"/>
    </xf>
    <xf numFmtId="196" fontId="0" fillId="36" borderId="36" xfId="48" applyNumberFormat="1" applyFont="1" applyFill="1" applyBorder="1" applyAlignment="1" applyProtection="1">
      <alignment horizontal="right"/>
      <protection hidden="1"/>
    </xf>
    <xf numFmtId="14" fontId="0" fillId="36" borderId="35" xfId="0" applyNumberFormat="1" applyFont="1" applyFill="1" applyBorder="1" applyAlignment="1" applyProtection="1">
      <alignment horizontal="center"/>
      <protection hidden="1"/>
    </xf>
    <xf numFmtId="0" fontId="0" fillId="36" borderId="0" xfId="0" applyFont="1" applyFill="1" applyBorder="1" applyAlignment="1" applyProtection="1">
      <alignment horizontal="center"/>
      <protection hidden="1"/>
    </xf>
    <xf numFmtId="0" fontId="0" fillId="36" borderId="37" xfId="0" applyFont="1" applyFill="1" applyBorder="1" applyAlignment="1" applyProtection="1">
      <alignment horizontal="center"/>
      <protection hidden="1"/>
    </xf>
    <xf numFmtId="171" fontId="0" fillId="36" borderId="34" xfId="0" applyNumberFormat="1" applyFont="1" applyFill="1" applyBorder="1" applyAlignment="1" applyProtection="1">
      <alignment/>
      <protection hidden="1"/>
    </xf>
    <xf numFmtId="171" fontId="0" fillId="36" borderId="35" xfId="0" applyNumberFormat="1" applyFont="1" applyFill="1" applyBorder="1" applyAlignment="1" applyProtection="1">
      <alignment/>
      <protection hidden="1"/>
    </xf>
    <xf numFmtId="171" fontId="0" fillId="36" borderId="37" xfId="0" applyNumberFormat="1" applyFont="1" applyFill="1" applyBorder="1" applyAlignment="1" applyProtection="1">
      <alignment/>
      <protection hidden="1"/>
    </xf>
    <xf numFmtId="0" fontId="0" fillId="36" borderId="0" xfId="0" applyFont="1" applyFill="1" applyAlignment="1" applyProtection="1">
      <alignment/>
      <protection hidden="1"/>
    </xf>
    <xf numFmtId="197" fontId="8" fillId="0" borderId="0" xfId="0" applyNumberFormat="1" applyFont="1" applyBorder="1" applyAlignment="1" applyProtection="1">
      <alignment/>
      <protection hidden="1"/>
    </xf>
    <xf numFmtId="191" fontId="0" fillId="0" borderId="45" xfId="54" applyNumberFormat="1" applyFont="1" applyFill="1" applyBorder="1" applyAlignment="1" applyProtection="1">
      <alignment horizontal="center"/>
      <protection/>
    </xf>
    <xf numFmtId="185" fontId="0" fillId="0" borderId="44" xfId="54" applyNumberFormat="1" applyFont="1" applyFill="1" applyBorder="1" applyAlignment="1" applyProtection="1">
      <alignment horizontal="center"/>
      <protection hidden="1"/>
    </xf>
    <xf numFmtId="191" fontId="0" fillId="0" borderId="45" xfId="54" applyNumberFormat="1" applyFont="1" applyFill="1" applyBorder="1" applyAlignment="1">
      <alignment horizontal="center"/>
    </xf>
    <xf numFmtId="14" fontId="0" fillId="37" borderId="34" xfId="0" applyNumberFormat="1" applyFont="1" applyFill="1" applyBorder="1" applyAlignment="1" applyProtection="1">
      <alignment horizontal="center"/>
      <protection hidden="1"/>
    </xf>
    <xf numFmtId="169" fontId="0" fillId="37" borderId="35" xfId="48" applyNumberFormat="1" applyFont="1" applyFill="1" applyBorder="1" applyAlignment="1" applyProtection="1">
      <alignment horizontal="center"/>
      <protection hidden="1"/>
    </xf>
    <xf numFmtId="191" fontId="0" fillId="37" borderId="35" xfId="54" applyNumberFormat="1" applyFont="1" applyFill="1" applyBorder="1" applyAlignment="1" applyProtection="1">
      <alignment/>
      <protection hidden="1"/>
    </xf>
    <xf numFmtId="196" fontId="0" fillId="37" borderId="35" xfId="48" applyNumberFormat="1" applyFont="1" applyFill="1" applyBorder="1" applyAlignment="1" applyProtection="1">
      <alignment/>
      <protection hidden="1"/>
    </xf>
    <xf numFmtId="196" fontId="0" fillId="37" borderId="35" xfId="48" applyNumberFormat="1" applyFont="1" applyFill="1" applyBorder="1" applyAlignment="1" applyProtection="1">
      <alignment horizontal="right"/>
      <protection hidden="1"/>
    </xf>
    <xf numFmtId="196" fontId="0" fillId="37" borderId="36" xfId="48" applyNumberFormat="1" applyFont="1" applyFill="1" applyBorder="1" applyAlignment="1" applyProtection="1">
      <alignment horizontal="right"/>
      <protection hidden="1"/>
    </xf>
    <xf numFmtId="14" fontId="0" fillId="37" borderId="35" xfId="0" applyNumberFormat="1" applyFont="1" applyFill="1" applyBorder="1" applyAlignment="1" applyProtection="1">
      <alignment horizontal="center"/>
      <protection hidden="1"/>
    </xf>
    <xf numFmtId="0" fontId="0" fillId="37" borderId="0" xfId="0" applyFont="1" applyFill="1" applyBorder="1" applyAlignment="1" applyProtection="1">
      <alignment horizontal="center"/>
      <protection hidden="1"/>
    </xf>
    <xf numFmtId="0" fontId="0" fillId="37" borderId="37" xfId="0" applyFont="1" applyFill="1" applyBorder="1" applyAlignment="1" applyProtection="1">
      <alignment horizontal="center"/>
      <protection hidden="1"/>
    </xf>
    <xf numFmtId="171" fontId="0" fillId="37" borderId="34" xfId="0" applyNumberFormat="1" applyFont="1" applyFill="1" applyBorder="1" applyAlignment="1" applyProtection="1">
      <alignment/>
      <protection hidden="1"/>
    </xf>
    <xf numFmtId="171" fontId="0" fillId="37" borderId="35" xfId="0" applyNumberFormat="1" applyFont="1" applyFill="1" applyBorder="1" applyAlignment="1" applyProtection="1">
      <alignment/>
      <protection hidden="1"/>
    </xf>
    <xf numFmtId="171" fontId="0" fillId="37" borderId="37" xfId="0" applyNumberFormat="1" applyFont="1" applyFill="1" applyBorder="1" applyAlignment="1" applyProtection="1">
      <alignment/>
      <protection hidden="1"/>
    </xf>
    <xf numFmtId="0" fontId="0" fillId="37" borderId="0" xfId="0" applyFont="1" applyFill="1" applyAlignment="1" applyProtection="1">
      <alignment/>
      <protection hidden="1"/>
    </xf>
    <xf numFmtId="0" fontId="0" fillId="0" borderId="0" xfId="0" applyFont="1" applyFill="1" applyAlignment="1">
      <alignment/>
    </xf>
    <xf numFmtId="14" fontId="0" fillId="37" borderId="26" xfId="54" applyNumberFormat="1" applyFont="1" applyFill="1" applyBorder="1" applyAlignment="1" applyProtection="1">
      <alignment horizontal="center"/>
      <protection hidden="1"/>
    </xf>
    <xf numFmtId="0" fontId="12" fillId="35" borderId="43" xfId="0" applyFont="1" applyFill="1" applyBorder="1" applyAlignment="1" applyProtection="1">
      <alignment horizontal="left"/>
      <protection hidden="1"/>
    </xf>
    <xf numFmtId="3" fontId="0" fillId="0" borderId="43" xfId="0" applyNumberFormat="1" applyBorder="1" applyAlignment="1" applyProtection="1">
      <alignment/>
      <protection hidden="1"/>
    </xf>
    <xf numFmtId="185" fontId="0" fillId="37" borderId="21" xfId="54" applyNumberFormat="1" applyFont="1" applyFill="1" applyBorder="1" applyAlignment="1" applyProtection="1">
      <alignment horizontal="center"/>
      <protection hidden="1"/>
    </xf>
    <xf numFmtId="14" fontId="0" fillId="36" borderId="26" xfId="54" applyNumberFormat="1" applyFont="1" applyFill="1" applyBorder="1" applyAlignment="1" applyProtection="1">
      <alignment horizontal="center"/>
      <protection hidden="1"/>
    </xf>
    <xf numFmtId="185" fontId="0" fillId="36" borderId="21" xfId="54" applyNumberFormat="1" applyFont="1" applyFill="1" applyBorder="1" applyAlignment="1" applyProtection="1">
      <alignment horizontal="center"/>
      <protection hidden="1"/>
    </xf>
    <xf numFmtId="14" fontId="13" fillId="34" borderId="46" xfId="0" applyNumberFormat="1" applyFont="1" applyFill="1" applyBorder="1" applyAlignment="1" applyProtection="1">
      <alignment horizontal="center"/>
      <protection hidden="1" locked="0"/>
    </xf>
    <xf numFmtId="14" fontId="13" fillId="34" borderId="12" xfId="0" applyNumberFormat="1" applyFont="1" applyFill="1" applyBorder="1" applyAlignment="1" applyProtection="1">
      <alignment horizontal="center"/>
      <protection hidden="1" locked="0"/>
    </xf>
    <xf numFmtId="0" fontId="12" fillId="35" borderId="11" xfId="0" applyFont="1" applyFill="1" applyBorder="1" applyAlignment="1" applyProtection="1">
      <alignment horizontal="center"/>
      <protection hidden="1"/>
    </xf>
    <xf numFmtId="0" fontId="12" fillId="35" borderId="12" xfId="0" applyFont="1" applyFill="1" applyBorder="1" applyAlignment="1" applyProtection="1">
      <alignment horizontal="center"/>
      <protection hidden="1"/>
    </xf>
    <xf numFmtId="0" fontId="12" fillId="35" borderId="47" xfId="0" applyFont="1" applyFill="1" applyBorder="1" applyAlignment="1" applyProtection="1">
      <alignment horizontal="center"/>
      <protection hidden="1"/>
    </xf>
    <xf numFmtId="0" fontId="12" fillId="35" borderId="17" xfId="0" applyFont="1" applyFill="1" applyBorder="1" applyAlignment="1" applyProtection="1">
      <alignment horizontal="center"/>
      <protection hidden="1"/>
    </xf>
    <xf numFmtId="0" fontId="0" fillId="0" borderId="42" xfId="0" applyFont="1" applyFill="1" applyBorder="1" applyAlignment="1" applyProtection="1">
      <alignment horizontal="center"/>
      <protection hidden="1"/>
    </xf>
    <xf numFmtId="0" fontId="0" fillId="0" borderId="48" xfId="0" applyFont="1" applyFill="1" applyBorder="1" applyAlignment="1" applyProtection="1">
      <alignment horizontal="center"/>
      <protection hidden="1"/>
    </xf>
    <xf numFmtId="182" fontId="0" fillId="0" borderId="44" xfId="54" applyNumberFormat="1" applyFont="1" applyFill="1" applyBorder="1" applyAlignment="1" applyProtection="1">
      <alignment horizontal="center" vertical="center" wrapText="1"/>
      <protection hidden="1"/>
    </xf>
    <xf numFmtId="0" fontId="0" fillId="0" borderId="45" xfId="0" applyFont="1" applyFill="1" applyBorder="1" applyAlignment="1" applyProtection="1">
      <alignment horizontal="center" vertical="center" wrapText="1"/>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9525</xdr:rowOff>
    </xdr:from>
    <xdr:to>
      <xdr:col>1</xdr:col>
      <xdr:colOff>1219200</xdr:colOff>
      <xdr:row>7</xdr:row>
      <xdr:rowOff>95250</xdr:rowOff>
    </xdr:to>
    <xdr:pic>
      <xdr:nvPicPr>
        <xdr:cNvPr id="1" name="Picture 8"/>
        <xdr:cNvPicPr preferRelativeResize="1">
          <a:picLocks noChangeAspect="1"/>
        </xdr:cNvPicPr>
      </xdr:nvPicPr>
      <xdr:blipFill>
        <a:blip r:embed="rId1"/>
        <a:stretch>
          <a:fillRect/>
        </a:stretch>
      </xdr:blipFill>
      <xdr:spPr>
        <a:xfrm>
          <a:off x="314325" y="190500"/>
          <a:ext cx="11525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K40"/>
  <sheetViews>
    <sheetView showGridLines="0" tabSelected="1" zoomScale="95" zoomScaleNormal="95" zoomScalePageLayoutView="0" workbookViewId="0" topLeftCell="A1">
      <selection activeCell="E7" sqref="E7"/>
    </sheetView>
  </sheetViews>
  <sheetFormatPr defaultColWidth="0" defaultRowHeight="12.75" zeroHeight="1"/>
  <cols>
    <col min="1" max="1" width="3.7109375" style="1" customWidth="1"/>
    <col min="2" max="2" width="32.7109375" style="1" customWidth="1"/>
    <col min="3" max="3" width="23.57421875" style="1" customWidth="1"/>
    <col min="4" max="4" width="3.7109375" style="1" customWidth="1"/>
    <col min="5" max="5" width="32.7109375" style="1" customWidth="1"/>
    <col min="6" max="6" width="23.57421875" style="1" customWidth="1"/>
    <col min="7" max="7" width="3.57421875" style="1" customWidth="1"/>
    <col min="8" max="8" width="24.140625" style="9" hidden="1" customWidth="1"/>
    <col min="9" max="9" width="2.140625" style="9" hidden="1" customWidth="1"/>
    <col min="10" max="10" width="12.140625" style="9" hidden="1" customWidth="1"/>
    <col min="11" max="11" width="13.00390625" style="11" hidden="1" customWidth="1"/>
    <col min="12" max="16384" width="11.421875" style="4" hidden="1" customWidth="1"/>
  </cols>
  <sheetData>
    <row r="1" spans="1:11" ht="14.25">
      <c r="A1" s="2"/>
      <c r="B1" s="3"/>
      <c r="C1" s="3"/>
      <c r="D1" s="3"/>
      <c r="E1" s="3"/>
      <c r="F1" s="3"/>
      <c r="G1" s="3"/>
      <c r="H1" s="4" t="str">
        <f>+Características!B1</f>
        <v>TIPS Pesos E-14 A 2020</v>
      </c>
      <c r="I1" s="4"/>
      <c r="J1" s="5" t="s">
        <v>73</v>
      </c>
      <c r="K1" s="6"/>
    </row>
    <row r="2" spans="1:10" ht="14.25">
      <c r="A2" s="2"/>
      <c r="B2" s="7"/>
      <c r="C2" s="176" t="s">
        <v>81</v>
      </c>
      <c r="D2" s="176"/>
      <c r="E2" s="177"/>
      <c r="F2" s="8"/>
      <c r="G2" s="8"/>
      <c r="H2" s="9">
        <f>+Características!C1</f>
        <v>0</v>
      </c>
      <c r="J2" s="10">
        <f>+Características!E2</f>
        <v>0</v>
      </c>
    </row>
    <row r="3" spans="1:10" ht="15" customHeight="1">
      <c r="A3" s="2"/>
      <c r="B3" s="12"/>
      <c r="C3" s="54"/>
      <c r="D3" s="54"/>
      <c r="E3" s="12"/>
      <c r="F3" s="12"/>
      <c r="G3" s="12"/>
      <c r="J3" s="43">
        <f>+Características!E3</f>
        <v>0</v>
      </c>
    </row>
    <row r="4" spans="1:10" ht="15" customHeight="1">
      <c r="A4" s="2"/>
      <c r="B4" s="13"/>
      <c r="C4" s="14" t="s">
        <v>31</v>
      </c>
      <c r="D4" s="15"/>
      <c r="E4" s="134" t="s">
        <v>79</v>
      </c>
      <c r="G4" s="16"/>
      <c r="H4" s="4" t="s">
        <v>38</v>
      </c>
      <c r="J4" s="43">
        <f>+Características!E4</f>
        <v>0</v>
      </c>
    </row>
    <row r="5" spans="1:10" ht="15" customHeight="1">
      <c r="A5" s="2"/>
      <c r="B5" s="2"/>
      <c r="C5" s="17"/>
      <c r="F5" s="16"/>
      <c r="G5" s="16"/>
      <c r="H5" s="4" t="s">
        <v>65</v>
      </c>
      <c r="J5" s="43">
        <f>+Características!E5</f>
        <v>0</v>
      </c>
    </row>
    <row r="6" spans="1:10" ht="15" customHeight="1">
      <c r="A6" s="2"/>
      <c r="B6" s="13"/>
      <c r="C6" s="18" t="s">
        <v>10</v>
      </c>
      <c r="D6" s="18"/>
      <c r="E6" s="52">
        <v>41967</v>
      </c>
      <c r="F6" s="16"/>
      <c r="G6" s="16"/>
      <c r="H6" s="4" t="s">
        <v>66</v>
      </c>
      <c r="J6" s="43">
        <f>+Características!E6</f>
        <v>0</v>
      </c>
    </row>
    <row r="7" spans="1:10" ht="15" customHeight="1">
      <c r="A7" s="2"/>
      <c r="B7" s="2"/>
      <c r="C7" s="19"/>
      <c r="D7" s="19"/>
      <c r="E7" s="16"/>
      <c r="F7" s="152"/>
      <c r="G7" s="16"/>
      <c r="H7" s="4" t="s">
        <v>67</v>
      </c>
      <c r="J7" s="43">
        <f>+Características!E7</f>
        <v>0</v>
      </c>
    </row>
    <row r="8" spans="1:10" ht="15" customHeight="1">
      <c r="A8" s="2"/>
      <c r="B8" s="2"/>
      <c r="D8" s="16"/>
      <c r="E8" s="57" t="s">
        <v>77</v>
      </c>
      <c r="F8" s="51" t="s">
        <v>74</v>
      </c>
      <c r="G8" s="16"/>
      <c r="H8" s="20">
        <v>0.2</v>
      </c>
      <c r="J8" s="43">
        <f>+Características!E8</f>
        <v>0</v>
      </c>
    </row>
    <row r="9" spans="1:10" ht="15" customHeight="1">
      <c r="A9" s="2"/>
      <c r="B9" s="178" t="s">
        <v>27</v>
      </c>
      <c r="C9" s="179"/>
      <c r="D9" s="21"/>
      <c r="E9" s="180" t="s">
        <v>32</v>
      </c>
      <c r="F9" s="181"/>
      <c r="G9" s="16"/>
      <c r="H9" s="4" t="s">
        <v>39</v>
      </c>
      <c r="J9" s="43">
        <f>+Características!E9</f>
        <v>0</v>
      </c>
    </row>
    <row r="10" spans="1:10" ht="15" customHeight="1">
      <c r="A10" s="2"/>
      <c r="B10" s="22" t="s">
        <v>28</v>
      </c>
      <c r="C10" s="23" t="str">
        <f>+HLOOKUP(E4,Características!A1:B7,2,FALSE)</f>
        <v>IRST10220420</v>
      </c>
      <c r="D10" s="24"/>
      <c r="E10" s="53" t="s">
        <v>48</v>
      </c>
      <c r="F10" s="55" t="s">
        <v>39</v>
      </c>
      <c r="G10" s="16"/>
      <c r="J10" s="43">
        <f>+Características!E10</f>
        <v>0</v>
      </c>
    </row>
    <row r="11" spans="1:10" ht="15" customHeight="1">
      <c r="A11" s="13"/>
      <c r="B11" s="25" t="s">
        <v>75</v>
      </c>
      <c r="C11" s="58" t="str">
        <f>+HLOOKUP(E4,Características!A1:B7,3,FALSE)</f>
        <v>COF80TI01525</v>
      </c>
      <c r="D11" s="24"/>
      <c r="E11" s="27" t="s">
        <v>33</v>
      </c>
      <c r="F11" s="47">
        <v>0.064</v>
      </c>
      <c r="G11" s="16"/>
      <c r="J11" s="43">
        <f>+Características!E11</f>
        <v>0</v>
      </c>
    </row>
    <row r="12" spans="1:10" ht="15" customHeight="1">
      <c r="A12" s="13"/>
      <c r="B12" s="25" t="s">
        <v>7</v>
      </c>
      <c r="C12" s="26">
        <f>+HLOOKUP(E4,Características!A1:B7,4,FALSE)</f>
        <v>40290</v>
      </c>
      <c r="D12" s="28"/>
      <c r="E12" s="29" t="s">
        <v>2</v>
      </c>
      <c r="F12" s="48">
        <v>99.996</v>
      </c>
      <c r="G12" s="16"/>
      <c r="J12" s="43">
        <f>+Características!E12</f>
        <v>0</v>
      </c>
    </row>
    <row r="13" spans="1:10" ht="14.25">
      <c r="A13" s="13"/>
      <c r="B13" s="25" t="s">
        <v>34</v>
      </c>
      <c r="C13" s="26">
        <f>+HLOOKUP(E4,Características!A1:B7,5,FALSE)</f>
        <v>43943</v>
      </c>
      <c r="D13" s="28"/>
      <c r="E13" s="30" t="s">
        <v>37</v>
      </c>
      <c r="F13" s="136">
        <v>99.996</v>
      </c>
      <c r="G13" s="16"/>
      <c r="J13" s="43">
        <f>+Características!E13</f>
        <v>0</v>
      </c>
    </row>
    <row r="14" spans="1:10" ht="14.25">
      <c r="A14" s="13"/>
      <c r="B14" s="25" t="s">
        <v>35</v>
      </c>
      <c r="C14" s="31">
        <f>+HLOOKUP(E4,Características!A1:B7,6,FALSE)</f>
        <v>0.0639</v>
      </c>
      <c r="D14" s="28"/>
      <c r="E14" s="22" t="s">
        <v>40</v>
      </c>
      <c r="F14" s="32">
        <f>+VLOOKUP(0,Flujos!D2:I182,6,FALSE)</f>
        <v>41995</v>
      </c>
      <c r="G14" s="16"/>
      <c r="J14" s="43">
        <f>+Características!E14</f>
        <v>0</v>
      </c>
    </row>
    <row r="15" spans="1:10" ht="14.25">
      <c r="A15" s="13"/>
      <c r="B15" s="25" t="s">
        <v>36</v>
      </c>
      <c r="C15" s="31">
        <f>+ROUND(((1+C14)^(1/12)-1)*12,6)</f>
        <v>0.062102</v>
      </c>
      <c r="D15" s="28"/>
      <c r="E15" s="21" t="s">
        <v>46</v>
      </c>
      <c r="F15" s="33">
        <f>+Flujos!C183*100</f>
        <v>0.237205</v>
      </c>
      <c r="G15" s="16"/>
      <c r="J15" s="43">
        <f>+Características!E15</f>
        <v>0</v>
      </c>
    </row>
    <row r="16" spans="1:10" ht="14.25">
      <c r="A16" s="13"/>
      <c r="B16" s="34" t="s">
        <v>25</v>
      </c>
      <c r="C16" s="35" t="str">
        <f>+HLOOKUP(E4,Características!A1:B7,7,FALSE)</f>
        <v>COP</v>
      </c>
      <c r="D16" s="28"/>
      <c r="E16" s="29" t="s">
        <v>47</v>
      </c>
      <c r="F16" s="49">
        <v>1000000000</v>
      </c>
      <c r="G16" s="16"/>
      <c r="J16" s="43">
        <f>+Características!E16</f>
        <v>0</v>
      </c>
    </row>
    <row r="17" spans="1:10" ht="14.25">
      <c r="A17" s="2"/>
      <c r="B17" s="16"/>
      <c r="C17" s="16"/>
      <c r="D17" s="28"/>
      <c r="E17" s="30" t="s">
        <v>64</v>
      </c>
      <c r="F17" s="56">
        <f>+Características!B20</f>
        <v>1000305000</v>
      </c>
      <c r="G17" s="16"/>
      <c r="J17" s="43">
        <f>+Características!E17</f>
        <v>0</v>
      </c>
    </row>
    <row r="18" spans="1:10" ht="16.5" customHeight="1">
      <c r="A18" s="13"/>
      <c r="B18" s="50" t="s">
        <v>19</v>
      </c>
      <c r="C18" s="36">
        <f>+SUMPRODUCT(Flujos!B2:B182,Flujos!C2:C182)/Flujos!C183/365</f>
        <v>0.07671232876712329</v>
      </c>
      <c r="D18" s="37"/>
      <c r="E18" s="16"/>
      <c r="F18" s="19"/>
      <c r="G18" s="16"/>
      <c r="J18" s="43">
        <f>+Características!E18</f>
        <v>0</v>
      </c>
    </row>
    <row r="19" spans="1:10" ht="16.5" customHeight="1">
      <c r="A19" s="13"/>
      <c r="B19" s="38" t="s">
        <v>20</v>
      </c>
      <c r="C19" s="39">
        <f>+SUMPRODUCT(Flujos!C2:C182,Flujos!K2:K182)/365</f>
        <v>1.7386573628493158</v>
      </c>
      <c r="D19" s="2"/>
      <c r="E19" s="16"/>
      <c r="F19" s="40"/>
      <c r="G19" s="16"/>
      <c r="J19" s="43">
        <f>+Características!E19</f>
        <v>0</v>
      </c>
    </row>
    <row r="20" spans="1:10" ht="16.5" customHeight="1">
      <c r="A20" s="13"/>
      <c r="B20" s="38" t="s">
        <v>3</v>
      </c>
      <c r="C20" s="39">
        <f>+SUMPRODUCT(Flujos!B2:B182,Flujos!H2:H182)/Flujos!H183/365</f>
        <v>0.07671232876712329</v>
      </c>
      <c r="D20" s="2"/>
      <c r="E20" s="16"/>
      <c r="F20" s="40"/>
      <c r="G20" s="16"/>
      <c r="J20" s="43">
        <f>+Características!E20</f>
        <v>0</v>
      </c>
    </row>
    <row r="21" spans="1:10" ht="16.5" customHeight="1">
      <c r="A21" s="13"/>
      <c r="B21" s="41" t="s">
        <v>4</v>
      </c>
      <c r="C21" s="42">
        <f>+C20/(1+F11)</f>
        <v>0.07209805335255948</v>
      </c>
      <c r="E21" s="16"/>
      <c r="F21" s="40"/>
      <c r="G21" s="16"/>
      <c r="J21" s="43">
        <f>+Características!E21</f>
        <v>0</v>
      </c>
    </row>
    <row r="22" ht="15" thickBot="1">
      <c r="J22" s="43">
        <f>+Características!E22</f>
        <v>0</v>
      </c>
    </row>
    <row r="23" spans="2:10" ht="15" thickBot="1">
      <c r="B23" s="171" t="s">
        <v>83</v>
      </c>
      <c r="C23" s="172">
        <f>Flujos!L2</f>
        <v>421576273687.31683</v>
      </c>
      <c r="J23" s="43">
        <f>+Características!E23</f>
        <v>0</v>
      </c>
    </row>
    <row r="24" spans="2:10" ht="14.25">
      <c r="B24"/>
      <c r="C24"/>
      <c r="E24"/>
      <c r="F24"/>
      <c r="J24" s="43">
        <f>+Características!E24</f>
        <v>0</v>
      </c>
    </row>
    <row r="25" spans="2:10" ht="14.25" hidden="1">
      <c r="B25"/>
      <c r="C25"/>
      <c r="E25"/>
      <c r="F25"/>
      <c r="J25" s="43"/>
    </row>
    <row r="26" spans="2:6" ht="14.25" hidden="1">
      <c r="B26"/>
      <c r="C26"/>
      <c r="D26"/>
      <c r="E26"/>
      <c r="F26"/>
    </row>
    <row r="27" spans="2:6" ht="14.25" hidden="1">
      <c r="B27"/>
      <c r="C27"/>
      <c r="D27"/>
      <c r="E27"/>
      <c r="F27"/>
    </row>
    <row r="28" spans="2:6" ht="14.25" hidden="1">
      <c r="B28"/>
      <c r="C28"/>
      <c r="D28"/>
      <c r="E28"/>
      <c r="F28"/>
    </row>
    <row r="29" spans="2:6" ht="14.25" hidden="1">
      <c r="B29"/>
      <c r="C29"/>
      <c r="D29"/>
      <c r="E29"/>
      <c r="F29"/>
    </row>
    <row r="30" spans="2:6" ht="14.25" hidden="1">
      <c r="B30"/>
      <c r="C30"/>
      <c r="D30"/>
      <c r="E30"/>
      <c r="F30"/>
    </row>
    <row r="31" spans="2:6" ht="14.25" hidden="1">
      <c r="B31"/>
      <c r="C31"/>
      <c r="D31"/>
      <c r="E31"/>
      <c r="F31"/>
    </row>
    <row r="32" spans="2:6" ht="14.25" hidden="1">
      <c r="B32"/>
      <c r="C32"/>
      <c r="D32"/>
      <c r="E32"/>
      <c r="F32"/>
    </row>
    <row r="33" spans="2:6" ht="14.25" hidden="1">
      <c r="B33"/>
      <c r="C33"/>
      <c r="D33"/>
      <c r="E33"/>
      <c r="F33"/>
    </row>
    <row r="34" spans="2:6" ht="14.25" hidden="1">
      <c r="B34"/>
      <c r="C34"/>
      <c r="D34"/>
      <c r="E34"/>
      <c r="F34"/>
    </row>
    <row r="35" spans="2:6" ht="14.25" hidden="1">
      <c r="B35"/>
      <c r="C35"/>
      <c r="D35"/>
      <c r="E35"/>
      <c r="F35"/>
    </row>
    <row r="36" spans="2:6" ht="14.25" hidden="1">
      <c r="B36"/>
      <c r="C36"/>
      <c r="D36"/>
      <c r="E36"/>
      <c r="F36"/>
    </row>
    <row r="37" spans="2:6" ht="14.25" hidden="1">
      <c r="B37"/>
      <c r="C37"/>
      <c r="D37"/>
      <c r="E37"/>
      <c r="F37"/>
    </row>
    <row r="38" spans="2:6" ht="14.25" hidden="1">
      <c r="B38"/>
      <c r="C38"/>
      <c r="D38"/>
      <c r="E38"/>
      <c r="F38"/>
    </row>
    <row r="39" spans="2:6" ht="14.25" hidden="1">
      <c r="B39"/>
      <c r="C39"/>
      <c r="D39"/>
      <c r="E39"/>
      <c r="F39"/>
    </row>
    <row r="40" spans="2:3" ht="14.25" hidden="1">
      <c r="B40"/>
      <c r="C40"/>
    </row>
    <row r="41" ht="14.25" hidden="1"/>
  </sheetData>
  <sheetProtection password="C539" sheet="1"/>
  <protectedRanges>
    <protectedRange sqref="E6 E4" name="Rango1"/>
  </protectedRanges>
  <mergeCells count="3">
    <mergeCell ref="C2:E2"/>
    <mergeCell ref="B9:C9"/>
    <mergeCell ref="E9:F9"/>
  </mergeCells>
  <dataValidations count="2">
    <dataValidation type="list" allowBlank="1" showInputMessage="1" showErrorMessage="1" sqref="F10">
      <formula1>$H$4:$H$9</formula1>
    </dataValidation>
    <dataValidation type="list" showInputMessage="1" showErrorMessage="1" sqref="E4">
      <formula1>$H$1</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4"/>
  <ignoredErrors>
    <ignoredError sqref="J1" formulaRange="1"/>
    <ignoredError sqref="F17"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25">
      <selection activeCell="B39" sqref="B39"/>
    </sheetView>
  </sheetViews>
  <sheetFormatPr defaultColWidth="21.140625" defaultRowHeight="12.75"/>
  <cols>
    <col min="1" max="1" width="25.7109375" style="44" customWidth="1"/>
    <col min="2" max="3" width="21.421875" style="65" bestFit="1" customWidth="1"/>
    <col min="4" max="4" width="21.140625" style="44" customWidth="1"/>
    <col min="5" max="6" width="11.00390625" style="44" bestFit="1" customWidth="1"/>
    <col min="7" max="16384" width="21.140625" style="44" customWidth="1"/>
  </cols>
  <sheetData>
    <row r="1" spans="1:6" ht="12.75">
      <c r="A1" s="85" t="s">
        <v>8</v>
      </c>
      <c r="B1" s="59" t="s">
        <v>79</v>
      </c>
      <c r="E1" s="60"/>
      <c r="F1" s="60"/>
    </row>
    <row r="2" spans="1:6" ht="12.75">
      <c r="A2" s="66" t="s">
        <v>21</v>
      </c>
      <c r="B2" s="61" t="s">
        <v>80</v>
      </c>
      <c r="E2" s="60"/>
      <c r="F2" s="60"/>
    </row>
    <row r="3" spans="1:6" ht="12.75">
      <c r="A3" s="66" t="s">
        <v>75</v>
      </c>
      <c r="B3" s="61" t="s">
        <v>82</v>
      </c>
      <c r="E3" s="60"/>
      <c r="F3" s="60"/>
    </row>
    <row r="4" spans="1:6" ht="12.75">
      <c r="A4" s="66" t="s">
        <v>22</v>
      </c>
      <c r="B4" s="62">
        <v>40290</v>
      </c>
      <c r="C4" s="60"/>
      <c r="E4" s="60"/>
      <c r="F4" s="60"/>
    </row>
    <row r="5" spans="1:6" ht="12.75">
      <c r="A5" s="66" t="s">
        <v>23</v>
      </c>
      <c r="B5" s="62">
        <v>43943</v>
      </c>
      <c r="C5" s="60"/>
      <c r="E5" s="60"/>
      <c r="F5" s="60"/>
    </row>
    <row r="6" spans="1:6" ht="12.75">
      <c r="A6" s="66" t="s">
        <v>24</v>
      </c>
      <c r="B6" s="63">
        <v>0.0639</v>
      </c>
      <c r="C6" s="137"/>
      <c r="E6" s="60"/>
      <c r="F6" s="60"/>
    </row>
    <row r="7" spans="1:6" ht="13.5" thickBot="1">
      <c r="A7" s="76" t="s">
        <v>25</v>
      </c>
      <c r="B7" s="64" t="s">
        <v>26</v>
      </c>
      <c r="E7" s="60"/>
      <c r="F7" s="60"/>
    </row>
    <row r="8" spans="5:6" ht="13.5" thickBot="1">
      <c r="E8" s="60"/>
      <c r="F8" s="60"/>
    </row>
    <row r="9" spans="1:6" ht="13.5" thickBot="1">
      <c r="A9" s="182" t="s">
        <v>45</v>
      </c>
      <c r="B9" s="183"/>
      <c r="E9" s="60"/>
      <c r="F9" s="60"/>
    </row>
    <row r="10" spans="1:6" ht="12.75">
      <c r="A10" s="66" t="s">
        <v>10</v>
      </c>
      <c r="B10" s="67">
        <f>+'CALCULADORA TIPS Pesos E-14'!E6</f>
        <v>41967</v>
      </c>
      <c r="E10" s="60"/>
      <c r="F10" s="60"/>
    </row>
    <row r="11" spans="1:6" ht="12.75">
      <c r="A11" s="66" t="s">
        <v>11</v>
      </c>
      <c r="B11" s="67">
        <f>+VLOOKUP(B10,Flujos!$A$2:$A$182,1)</f>
        <v>41965</v>
      </c>
      <c r="E11" s="60"/>
      <c r="F11" s="60"/>
    </row>
    <row r="12" spans="1:6" ht="12.75">
      <c r="A12" s="66" t="s">
        <v>12</v>
      </c>
      <c r="B12" s="68">
        <f>+VLOOKUP(B11,Flujos!$A$2:$D$182,4)</f>
        <v>0.237205</v>
      </c>
      <c r="E12" s="60"/>
      <c r="F12" s="60"/>
    </row>
    <row r="13" spans="1:6" ht="12.75">
      <c r="A13" s="66" t="s">
        <v>13</v>
      </c>
      <c r="B13" s="68">
        <f>+VLOOKUP(_XLL.FECHA.MES(B10,1),Flujos!$A$2:$F$182,6)</f>
        <v>0.001228</v>
      </c>
      <c r="E13" s="60"/>
      <c r="F13" s="60"/>
    </row>
    <row r="14" spans="1:6" ht="12.75">
      <c r="A14" s="66" t="s">
        <v>9</v>
      </c>
      <c r="B14" s="69">
        <f>+DAYS360(B11,B10,TRUE)</f>
        <v>2</v>
      </c>
      <c r="E14" s="60"/>
      <c r="F14" s="60"/>
    </row>
    <row r="15" spans="1:6" ht="12.75">
      <c r="A15" s="66" t="s">
        <v>14</v>
      </c>
      <c r="B15" s="69">
        <v>30</v>
      </c>
      <c r="E15" s="60"/>
      <c r="F15" s="60"/>
    </row>
    <row r="16" spans="1:6" ht="12.75">
      <c r="A16" s="66" t="s">
        <v>15</v>
      </c>
      <c r="B16" s="70">
        <f>ROUND(B13/B12*B14/B15*100,4)</f>
        <v>0.0345</v>
      </c>
      <c r="E16" s="60"/>
      <c r="F16" s="60"/>
    </row>
    <row r="17" spans="1:6" ht="12.75">
      <c r="A17" s="66" t="s">
        <v>18</v>
      </c>
      <c r="B17" s="71">
        <f>+'CALCULADORA TIPS Pesos E-14'!F12</f>
        <v>99.996</v>
      </c>
      <c r="E17" s="60"/>
      <c r="F17" s="60"/>
    </row>
    <row r="18" spans="1:6" ht="12.75">
      <c r="A18" s="66" t="s">
        <v>42</v>
      </c>
      <c r="B18" s="72">
        <f>+'CALCULADORA TIPS Pesos E-14'!F16</f>
        <v>1000000000</v>
      </c>
      <c r="E18" s="60"/>
      <c r="F18" s="60"/>
    </row>
    <row r="19" spans="1:6" ht="12.75">
      <c r="A19" s="66" t="s">
        <v>25</v>
      </c>
      <c r="B19" s="70">
        <v>1</v>
      </c>
      <c r="E19" s="60"/>
      <c r="F19" s="60"/>
    </row>
    <row r="20" spans="1:6" ht="12.75">
      <c r="A20" s="66" t="s">
        <v>43</v>
      </c>
      <c r="B20" s="72">
        <f>ROUND(B18*B19*(B17+B16)/100,0)</f>
        <v>1000305000</v>
      </c>
      <c r="C20" s="73"/>
      <c r="E20" s="60"/>
      <c r="F20" s="60"/>
    </row>
    <row r="21" spans="1:6" ht="12.75">
      <c r="A21" s="66" t="s">
        <v>44</v>
      </c>
      <c r="B21" s="74">
        <f>TRUNC(B20/B18,5)</f>
        <v>1.0003</v>
      </c>
      <c r="C21" s="75"/>
      <c r="E21" s="60"/>
      <c r="F21" s="60"/>
    </row>
    <row r="22" spans="1:6" ht="12.75">
      <c r="A22" s="66" t="s">
        <v>49</v>
      </c>
      <c r="B22" s="71">
        <f>TRUNC(B21/B19*100,3)</f>
        <v>100.03</v>
      </c>
      <c r="E22" s="60"/>
      <c r="F22" s="60"/>
    </row>
    <row r="23" spans="1:6" ht="12.75">
      <c r="A23" s="66" t="s">
        <v>50</v>
      </c>
      <c r="B23" s="71">
        <f>TRUNC(Flujos!H183/VLOOKUP('CALCULADORA TIPS Pesos E-14'!E6,Flujos!A2:D182,4)*100,3)</f>
        <v>100.04</v>
      </c>
      <c r="E23" s="60"/>
      <c r="F23" s="60"/>
    </row>
    <row r="24" spans="1:6" ht="12.75">
      <c r="A24" s="66" t="s">
        <v>51</v>
      </c>
      <c r="B24" s="70">
        <f>+B22-B23</f>
        <v>-0.010000000000005116</v>
      </c>
      <c r="E24" s="60"/>
      <c r="F24" s="60"/>
    </row>
    <row r="25" spans="1:6" ht="13.5" thickBot="1">
      <c r="A25" s="76" t="s">
        <v>52</v>
      </c>
      <c r="B25" s="77">
        <f>TRUNC('CALCULADORA TIPS Pesos E-14'!F11,5)</f>
        <v>0.064</v>
      </c>
      <c r="E25" s="60"/>
      <c r="F25" s="60"/>
    </row>
    <row r="26" spans="5:6" ht="13.5" thickBot="1">
      <c r="E26" s="60"/>
      <c r="F26" s="60"/>
    </row>
    <row r="27" spans="1:6" ht="13.5" thickBot="1">
      <c r="A27" s="182" t="s">
        <v>63</v>
      </c>
      <c r="B27" s="183"/>
      <c r="E27" s="60"/>
      <c r="F27" s="60"/>
    </row>
    <row r="28" spans="1:6" ht="12.75">
      <c r="A28" s="66" t="s">
        <v>53</v>
      </c>
      <c r="B28" s="78">
        <f>TRUNC('CALCULADORA TIPS Pesos E-14'!F11,5)</f>
        <v>0.064</v>
      </c>
      <c r="E28" s="60"/>
      <c r="F28" s="60"/>
    </row>
    <row r="29" spans="1:6" ht="12.75">
      <c r="A29" s="66" t="s">
        <v>50</v>
      </c>
      <c r="B29" s="71">
        <f>TRUNC(Flujos!H183/VLOOKUP('CALCULADORA TIPS Pesos E-14'!E6,Flujos!A2:D182,4)*100,3)</f>
        <v>100.04</v>
      </c>
      <c r="E29" s="60"/>
      <c r="F29" s="60"/>
    </row>
    <row r="30" spans="1:6" ht="12.75">
      <c r="A30" s="44" t="s">
        <v>25</v>
      </c>
      <c r="B30" s="70">
        <v>1</v>
      </c>
      <c r="E30" s="60"/>
      <c r="F30" s="60"/>
    </row>
    <row r="31" spans="1:6" ht="12.75">
      <c r="A31" s="66" t="s">
        <v>42</v>
      </c>
      <c r="B31" s="72">
        <f>+'CALCULADORA TIPS Pesos E-14'!F16</f>
        <v>1000000000</v>
      </c>
      <c r="E31" s="60"/>
      <c r="F31" s="60"/>
    </row>
    <row r="32" spans="1:6" ht="12.75">
      <c r="A32" s="66" t="s">
        <v>43</v>
      </c>
      <c r="B32" s="72">
        <f>+ROUND(B29/100*B31*B30,0)</f>
        <v>1000400000</v>
      </c>
      <c r="E32" s="60"/>
      <c r="F32" s="60"/>
    </row>
    <row r="33" spans="1:6" ht="12.75">
      <c r="A33" s="66" t="s">
        <v>12</v>
      </c>
      <c r="B33" s="68">
        <f>+VLOOKUP(B11,Flujos!$A$2:$D$182,4)</f>
        <v>0.237205</v>
      </c>
      <c r="E33" s="60"/>
      <c r="F33" s="60"/>
    </row>
    <row r="34" spans="1:6" ht="12.75">
      <c r="A34" s="66" t="s">
        <v>13</v>
      </c>
      <c r="B34" s="68">
        <f>+VLOOKUP(_XLL.FECHA.MES(B10,1),Flujos!$A$2:$F$182,6)</f>
        <v>0.001228</v>
      </c>
      <c r="D34" s="79"/>
      <c r="E34" s="60"/>
      <c r="F34" s="60"/>
    </row>
    <row r="35" spans="1:6" ht="12.75">
      <c r="A35" s="66" t="s">
        <v>9</v>
      </c>
      <c r="B35" s="69">
        <f>+DAYS360(B11,B10,TRUE)</f>
        <v>2</v>
      </c>
      <c r="D35" s="80"/>
      <c r="E35" s="60"/>
      <c r="F35" s="60"/>
    </row>
    <row r="36" spans="1:6" ht="12.75">
      <c r="A36" s="66" t="s">
        <v>14</v>
      </c>
      <c r="B36" s="69">
        <v>30</v>
      </c>
      <c r="E36" s="60"/>
      <c r="F36" s="60"/>
    </row>
    <row r="37" spans="1:6" ht="12.75">
      <c r="A37" s="66" t="s">
        <v>44</v>
      </c>
      <c r="B37" s="74">
        <f>TRUNC(B32/(B30*B31),5)</f>
        <v>1.0004</v>
      </c>
      <c r="C37" s="81"/>
      <c r="E37" s="60"/>
      <c r="F37" s="60"/>
    </row>
    <row r="38" spans="1:6" ht="12.75">
      <c r="A38" s="66" t="s">
        <v>15</v>
      </c>
      <c r="B38" s="70">
        <f>ROUND(B34/B33*B35/B36,6)*100</f>
        <v>0.034499999999999996</v>
      </c>
      <c r="E38" s="60"/>
      <c r="F38" s="60"/>
    </row>
    <row r="39" spans="1:6" ht="13.5" thickBot="1">
      <c r="A39" s="76" t="s">
        <v>18</v>
      </c>
      <c r="B39" s="82">
        <f>ROUND((B37-(B38/100))*100,3)</f>
        <v>100.006</v>
      </c>
      <c r="C39" s="83"/>
      <c r="E39" s="60"/>
      <c r="F39" s="60"/>
    </row>
    <row r="40" spans="2:6" ht="12.75">
      <c r="B40" s="83"/>
      <c r="E40" s="60"/>
      <c r="F40" s="60"/>
    </row>
    <row r="41" spans="2:6" ht="12.75">
      <c r="B41" s="81"/>
      <c r="E41" s="60"/>
      <c r="F41" s="60"/>
    </row>
    <row r="42" spans="2:6" ht="12.75">
      <c r="B42" s="84"/>
      <c r="E42" s="60"/>
      <c r="F42" s="60"/>
    </row>
    <row r="43" spans="5:6" ht="12.75">
      <c r="E43" s="60"/>
      <c r="F43" s="60"/>
    </row>
    <row r="44" spans="5:6" ht="12.75">
      <c r="E44" s="60"/>
      <c r="F44" s="60"/>
    </row>
    <row r="45" spans="5:6" ht="12.75">
      <c r="E45" s="60"/>
      <c r="F45" s="60"/>
    </row>
    <row r="46" spans="5:6" ht="12.75">
      <c r="E46" s="60"/>
      <c r="F46" s="60"/>
    </row>
    <row r="47" spans="5:6" ht="12.75">
      <c r="E47" s="60"/>
      <c r="F47" s="60"/>
    </row>
    <row r="48" spans="5:6" ht="12.75">
      <c r="E48" s="60"/>
      <c r="F48" s="60"/>
    </row>
    <row r="49" spans="5:6" ht="12.75">
      <c r="E49" s="60"/>
      <c r="F49" s="60"/>
    </row>
    <row r="50" spans="5:6" ht="12.75">
      <c r="E50" s="60"/>
      <c r="F50" s="60"/>
    </row>
    <row r="51" spans="5:6" ht="12.75">
      <c r="E51" s="60"/>
      <c r="F51" s="60"/>
    </row>
    <row r="52" spans="5:6" ht="12.75">
      <c r="E52" s="60"/>
      <c r="F52" s="60"/>
    </row>
    <row r="53" spans="5:6" ht="12.75">
      <c r="E53" s="60"/>
      <c r="F53" s="60"/>
    </row>
    <row r="54" spans="5:6" ht="12.75">
      <c r="E54" s="60"/>
      <c r="F54" s="60"/>
    </row>
    <row r="55" spans="5:6" ht="12.75">
      <c r="E55" s="60"/>
      <c r="F55" s="60"/>
    </row>
    <row r="56" spans="5:6" ht="12.75">
      <c r="E56" s="60"/>
      <c r="F56" s="60"/>
    </row>
    <row r="57" spans="5:6" ht="12.75">
      <c r="E57" s="60"/>
      <c r="F57" s="60"/>
    </row>
    <row r="58" spans="5:6" ht="12.75">
      <c r="E58" s="60"/>
      <c r="F58" s="60"/>
    </row>
    <row r="59" spans="5:6" ht="12.75">
      <c r="E59" s="60"/>
      <c r="F59" s="60"/>
    </row>
    <row r="60" spans="5:6" ht="12.75">
      <c r="E60" s="60"/>
      <c r="F60" s="60"/>
    </row>
    <row r="61" spans="5:6" ht="12.75">
      <c r="E61" s="60"/>
      <c r="F61" s="60"/>
    </row>
    <row r="62" spans="5:6" ht="12.75">
      <c r="E62" s="60"/>
      <c r="F62" s="60"/>
    </row>
    <row r="63" spans="5:6" ht="12.75">
      <c r="E63" s="60"/>
      <c r="F63" s="60"/>
    </row>
    <row r="64" spans="5:6" ht="12.75">
      <c r="E64" s="60"/>
      <c r="F64" s="60"/>
    </row>
    <row r="65" spans="5:6" ht="12.75">
      <c r="E65" s="60"/>
      <c r="F65" s="60"/>
    </row>
    <row r="66" spans="5:6" ht="12.75">
      <c r="E66" s="60"/>
      <c r="F66" s="60"/>
    </row>
    <row r="67" spans="5:6" ht="12.75">
      <c r="E67" s="60"/>
      <c r="F67" s="60"/>
    </row>
    <row r="68" spans="5:6" ht="12.75">
      <c r="E68" s="60"/>
      <c r="F68" s="60"/>
    </row>
    <row r="69" spans="5:6" ht="12.75">
      <c r="E69" s="60"/>
      <c r="F69" s="60"/>
    </row>
    <row r="70" spans="5:6" ht="12.75">
      <c r="E70" s="60"/>
      <c r="F70" s="60"/>
    </row>
    <row r="71" spans="5:6" ht="12.75">
      <c r="E71" s="60"/>
      <c r="F71" s="60"/>
    </row>
    <row r="72" spans="5:6" ht="12.75">
      <c r="E72" s="60"/>
      <c r="F72" s="60"/>
    </row>
    <row r="73" spans="5:6" ht="12.75">
      <c r="E73" s="60"/>
      <c r="F73" s="60"/>
    </row>
    <row r="74" spans="5:6" ht="12.75">
      <c r="E74" s="60"/>
      <c r="F74" s="60"/>
    </row>
    <row r="75" spans="5:6" ht="12.75">
      <c r="E75" s="60"/>
      <c r="F75" s="60"/>
    </row>
    <row r="76" spans="5:6" ht="12.75">
      <c r="E76" s="60"/>
      <c r="F76" s="60"/>
    </row>
    <row r="77" spans="5:6" ht="12.75">
      <c r="E77" s="60"/>
      <c r="F77" s="60"/>
    </row>
    <row r="78" spans="5:6" ht="12.75">
      <c r="E78" s="60"/>
      <c r="F78" s="60"/>
    </row>
    <row r="79" spans="5:6" ht="12.75">
      <c r="E79" s="60"/>
      <c r="F79" s="60"/>
    </row>
    <row r="80" spans="5:6" ht="12.75">
      <c r="E80" s="60"/>
      <c r="F80" s="60"/>
    </row>
    <row r="81" spans="5:6" ht="12.75">
      <c r="E81" s="60"/>
      <c r="F81" s="60"/>
    </row>
    <row r="82" spans="5:6" ht="12.75">
      <c r="E82" s="60"/>
      <c r="F82" s="60"/>
    </row>
    <row r="83" spans="5:6" ht="12.75">
      <c r="E83" s="60"/>
      <c r="F83" s="60"/>
    </row>
    <row r="84" spans="5:6" ht="12.75">
      <c r="E84" s="60"/>
      <c r="F84" s="60"/>
    </row>
    <row r="85" spans="5:6" ht="12.75">
      <c r="E85" s="60"/>
      <c r="F85" s="60"/>
    </row>
    <row r="86" spans="5:6" ht="12.75">
      <c r="E86" s="60"/>
      <c r="F86" s="60"/>
    </row>
    <row r="87" spans="5:6" ht="12.75">
      <c r="E87" s="60"/>
      <c r="F87" s="60"/>
    </row>
    <row r="88" spans="5:6" ht="12.75">
      <c r="E88" s="60"/>
      <c r="F88" s="60"/>
    </row>
    <row r="89" spans="5:6" ht="12.75">
      <c r="E89" s="60"/>
      <c r="F89" s="60"/>
    </row>
    <row r="90" spans="5:6" ht="12.75">
      <c r="E90" s="60"/>
      <c r="F90" s="60"/>
    </row>
    <row r="91" spans="5:6" ht="12.75">
      <c r="E91" s="60"/>
      <c r="F91" s="60"/>
    </row>
    <row r="92" spans="5:6" ht="12.75">
      <c r="E92" s="60"/>
      <c r="F92" s="60"/>
    </row>
    <row r="93" spans="5:6" ht="12.75">
      <c r="E93" s="60"/>
      <c r="F93" s="60"/>
    </row>
    <row r="94" spans="5:6" ht="12.75">
      <c r="E94" s="60"/>
      <c r="F94" s="60"/>
    </row>
    <row r="95" spans="5:6" ht="12.75">
      <c r="E95" s="60"/>
      <c r="F95" s="60"/>
    </row>
    <row r="96" spans="5:6" ht="12.75">
      <c r="E96" s="60"/>
      <c r="F96" s="60"/>
    </row>
    <row r="97" spans="5:6" ht="12.75">
      <c r="E97" s="60"/>
      <c r="F97" s="60"/>
    </row>
    <row r="98" spans="5:6" ht="12.75">
      <c r="E98" s="60"/>
      <c r="F98" s="60"/>
    </row>
    <row r="99" spans="5:6" ht="12.75">
      <c r="E99" s="60"/>
      <c r="F99" s="60"/>
    </row>
    <row r="100" spans="5:6" ht="12.75">
      <c r="E100" s="60"/>
      <c r="F100" s="60"/>
    </row>
    <row r="101" spans="5:6" ht="12.75">
      <c r="E101" s="60"/>
      <c r="F101" s="60"/>
    </row>
    <row r="102" spans="5:6" ht="12.75">
      <c r="E102" s="60"/>
      <c r="F102" s="60"/>
    </row>
    <row r="103" spans="5:6" ht="12.75">
      <c r="E103" s="60"/>
      <c r="F103" s="60"/>
    </row>
    <row r="104" spans="5:6" ht="12.75">
      <c r="E104" s="60"/>
      <c r="F104" s="60"/>
    </row>
    <row r="105" spans="5:6" ht="12.75">
      <c r="E105" s="60"/>
      <c r="F105" s="60"/>
    </row>
    <row r="106" spans="5:6" ht="12.75">
      <c r="E106" s="60"/>
      <c r="F106" s="60"/>
    </row>
    <row r="107" spans="5:6" ht="12.75">
      <c r="E107" s="60"/>
      <c r="F107" s="60"/>
    </row>
    <row r="108" spans="5:6" ht="12.75">
      <c r="E108" s="60"/>
      <c r="F108" s="60"/>
    </row>
    <row r="109" spans="5:6" ht="12.75">
      <c r="E109" s="60"/>
      <c r="F109" s="60"/>
    </row>
    <row r="110" spans="5:6" ht="12.75">
      <c r="E110" s="60"/>
      <c r="F110" s="60"/>
    </row>
    <row r="111" spans="5:6" ht="12.75">
      <c r="E111" s="60"/>
      <c r="F111" s="60"/>
    </row>
    <row r="112" spans="5:6" ht="12.75">
      <c r="E112" s="60"/>
      <c r="F112" s="60"/>
    </row>
    <row r="113" spans="5:6" ht="12.75">
      <c r="E113" s="60"/>
      <c r="F113" s="60"/>
    </row>
    <row r="114" spans="5:6" ht="12.75">
      <c r="E114" s="60"/>
      <c r="F114" s="60"/>
    </row>
    <row r="115" spans="5:6" ht="12.75">
      <c r="E115" s="60"/>
      <c r="F115" s="60"/>
    </row>
    <row r="116" spans="5:6" ht="12.75">
      <c r="E116" s="60"/>
      <c r="F116" s="60"/>
    </row>
    <row r="117" spans="5:6" ht="12.75">
      <c r="E117" s="60"/>
      <c r="F117" s="60"/>
    </row>
    <row r="118" spans="5:6" ht="12.75">
      <c r="E118" s="60"/>
      <c r="F118" s="60"/>
    </row>
    <row r="119" spans="5:6" ht="12.75">
      <c r="E119" s="60"/>
      <c r="F119" s="60"/>
    </row>
    <row r="120" spans="5:6" ht="12.75">
      <c r="E120" s="60"/>
      <c r="F120" s="60"/>
    </row>
    <row r="121" spans="5:6" ht="12.75">
      <c r="E121" s="60"/>
      <c r="F121" s="60"/>
    </row>
    <row r="122" spans="5:6" ht="12.75">
      <c r="E122" s="60"/>
      <c r="F122" s="60"/>
    </row>
    <row r="123" spans="5:6" ht="12.75">
      <c r="E123" s="60"/>
      <c r="F123" s="60"/>
    </row>
    <row r="124" spans="5:6" ht="12.75">
      <c r="E124" s="60"/>
      <c r="F124" s="60"/>
    </row>
    <row r="125" spans="5:6" ht="12.75">
      <c r="E125" s="60"/>
      <c r="F125" s="60"/>
    </row>
    <row r="126" spans="5:6" ht="12.75">
      <c r="E126" s="60"/>
      <c r="F126" s="60"/>
    </row>
    <row r="127" spans="5:6" ht="12.75">
      <c r="E127" s="60"/>
      <c r="F127" s="60"/>
    </row>
    <row r="128" spans="5:6" ht="12.75">
      <c r="E128" s="60"/>
      <c r="F128" s="60"/>
    </row>
    <row r="129" spans="5:6" ht="12.75">
      <c r="E129" s="60"/>
      <c r="F129" s="60"/>
    </row>
    <row r="130" spans="5:6" ht="12.75">
      <c r="E130" s="60"/>
      <c r="F130" s="60"/>
    </row>
    <row r="131" spans="5:6" ht="12.75">
      <c r="E131" s="60"/>
      <c r="F131" s="60"/>
    </row>
    <row r="132" spans="5:6" ht="12.75">
      <c r="E132" s="60"/>
      <c r="F132" s="60"/>
    </row>
    <row r="133" spans="5:6" ht="12.75">
      <c r="E133" s="60"/>
      <c r="F133" s="60"/>
    </row>
    <row r="134" spans="5:6" ht="12.75">
      <c r="E134" s="60"/>
      <c r="F134" s="60"/>
    </row>
    <row r="135" spans="5:6" ht="12.75">
      <c r="E135" s="60"/>
      <c r="F135" s="60"/>
    </row>
    <row r="136" spans="5:6" ht="12.75">
      <c r="E136" s="60"/>
      <c r="F136" s="60"/>
    </row>
    <row r="137" spans="5:6" ht="12.75">
      <c r="E137" s="60"/>
      <c r="F137" s="60"/>
    </row>
    <row r="138" spans="5:6" ht="12.75">
      <c r="E138" s="60"/>
      <c r="F138" s="60"/>
    </row>
    <row r="139" spans="5:6" ht="12.75">
      <c r="E139" s="60"/>
      <c r="F139" s="60"/>
    </row>
    <row r="140" spans="5:6" ht="12.75">
      <c r="E140" s="60"/>
      <c r="F140" s="60"/>
    </row>
    <row r="141" spans="5:6" ht="12.75">
      <c r="E141" s="60"/>
      <c r="F141" s="60"/>
    </row>
    <row r="142" spans="5:6" ht="12.75">
      <c r="E142" s="60"/>
      <c r="F142" s="60"/>
    </row>
    <row r="143" spans="5:6" ht="12.75">
      <c r="E143" s="60"/>
      <c r="F143" s="60"/>
    </row>
    <row r="144" spans="5:6" ht="12.75">
      <c r="E144" s="60"/>
      <c r="F144" s="60"/>
    </row>
    <row r="145" spans="5:6" ht="12.75">
      <c r="E145" s="60"/>
      <c r="F145" s="60"/>
    </row>
    <row r="146" spans="5:6" ht="12.75">
      <c r="E146" s="60"/>
      <c r="F146" s="60"/>
    </row>
    <row r="147" spans="5:6" ht="12.75">
      <c r="E147" s="60"/>
      <c r="F147" s="60"/>
    </row>
    <row r="148" spans="5:6" ht="12.75">
      <c r="E148" s="60"/>
      <c r="F148" s="60"/>
    </row>
    <row r="149" spans="5:6" ht="12.75">
      <c r="E149" s="60"/>
      <c r="F149" s="60"/>
    </row>
    <row r="150" spans="5:6" ht="12.75">
      <c r="E150" s="60"/>
      <c r="F150" s="60"/>
    </row>
    <row r="151" spans="5:6" ht="12.75">
      <c r="E151" s="60"/>
      <c r="F151" s="60"/>
    </row>
    <row r="152" spans="5:6" ht="12.75">
      <c r="E152" s="60"/>
      <c r="F152" s="60"/>
    </row>
    <row r="153" spans="5:6" ht="12.75">
      <c r="E153" s="60"/>
      <c r="F153" s="60"/>
    </row>
    <row r="154" spans="5:6" ht="12.75">
      <c r="E154" s="60"/>
      <c r="F154" s="60"/>
    </row>
    <row r="155" spans="5:6" ht="12.75">
      <c r="E155" s="60"/>
      <c r="F155" s="60"/>
    </row>
    <row r="156" spans="5:6" ht="12.75">
      <c r="E156" s="60"/>
      <c r="F156" s="60"/>
    </row>
    <row r="157" spans="5:6" ht="12.75">
      <c r="E157" s="60"/>
      <c r="F157" s="60"/>
    </row>
    <row r="158" spans="5:6" ht="12.75">
      <c r="E158" s="60"/>
      <c r="F158" s="60"/>
    </row>
    <row r="159" spans="5:6" ht="12.75">
      <c r="E159" s="60"/>
      <c r="F159" s="60"/>
    </row>
    <row r="160" spans="5:6" ht="12.75">
      <c r="E160" s="60"/>
      <c r="F160" s="60"/>
    </row>
    <row r="161" spans="5:6" ht="12.75">
      <c r="E161" s="60"/>
      <c r="F161" s="60"/>
    </row>
    <row r="162" spans="5:6" ht="12.75">
      <c r="E162" s="60"/>
      <c r="F162" s="60"/>
    </row>
    <row r="163" spans="5:6" ht="12.75">
      <c r="E163" s="60"/>
      <c r="F163" s="60"/>
    </row>
    <row r="164" spans="5:6" ht="12.75">
      <c r="E164" s="60"/>
      <c r="F164" s="60"/>
    </row>
    <row r="165" spans="5:6" ht="12.75">
      <c r="E165" s="60"/>
      <c r="F165" s="60"/>
    </row>
    <row r="166" spans="5:6" ht="12.75">
      <c r="E166" s="60"/>
      <c r="F166" s="60"/>
    </row>
    <row r="167" spans="5:6" ht="12.75">
      <c r="E167" s="60"/>
      <c r="F167" s="60"/>
    </row>
    <row r="168" spans="5:6" ht="12.75">
      <c r="E168" s="60"/>
      <c r="F168" s="60"/>
    </row>
    <row r="169" spans="5:6" ht="12.75">
      <c r="E169" s="60"/>
      <c r="F169" s="60"/>
    </row>
    <row r="170" spans="5:6" ht="12.75">
      <c r="E170" s="60"/>
      <c r="F170" s="60"/>
    </row>
    <row r="171" spans="5:6" ht="12.75">
      <c r="E171" s="60"/>
      <c r="F171" s="60"/>
    </row>
    <row r="172" spans="5:6" ht="12.75">
      <c r="E172" s="60"/>
      <c r="F172" s="60"/>
    </row>
    <row r="173" spans="5:6" ht="12.75">
      <c r="E173" s="60"/>
      <c r="F173" s="60"/>
    </row>
    <row r="174" spans="5:6" ht="12.75">
      <c r="E174" s="60"/>
      <c r="F174" s="60"/>
    </row>
    <row r="175" spans="5:6" ht="12.75">
      <c r="E175" s="60"/>
      <c r="F175" s="60"/>
    </row>
    <row r="176" spans="5:6" ht="12.75">
      <c r="E176" s="60"/>
      <c r="F176" s="60"/>
    </row>
    <row r="177" spans="5:6" ht="12.75">
      <c r="E177" s="60"/>
      <c r="F177" s="60"/>
    </row>
    <row r="178" spans="5:6" ht="12.75">
      <c r="E178" s="60"/>
      <c r="F178" s="60"/>
    </row>
    <row r="179" spans="5:6" ht="12.75">
      <c r="E179" s="60"/>
      <c r="F179" s="60"/>
    </row>
    <row r="180" spans="5:6" ht="12.75">
      <c r="E180" s="60"/>
      <c r="F180" s="60"/>
    </row>
    <row r="181" spans="5:6" ht="12.75">
      <c r="E181" s="60"/>
      <c r="F181" s="60"/>
    </row>
    <row r="182" spans="5:6" ht="12.75">
      <c r="E182" s="60"/>
      <c r="F182" s="60"/>
    </row>
    <row r="183" spans="5:6" ht="12.75">
      <c r="E183" s="60"/>
      <c r="F183" s="60"/>
    </row>
    <row r="184" spans="5:6" ht="12.75">
      <c r="E184" s="60"/>
      <c r="F184" s="60"/>
    </row>
    <row r="185" spans="5:6" ht="12.75">
      <c r="E185" s="60"/>
      <c r="F185" s="60"/>
    </row>
    <row r="186" spans="5:6" ht="12.75">
      <c r="E186" s="60"/>
      <c r="F186" s="60"/>
    </row>
    <row r="187" spans="5:6" ht="12.75">
      <c r="E187" s="60"/>
      <c r="F187" s="60"/>
    </row>
    <row r="188" spans="5:6" ht="12.75">
      <c r="E188" s="60"/>
      <c r="F188" s="60"/>
    </row>
    <row r="189" spans="5:6" ht="12.75">
      <c r="E189" s="60"/>
      <c r="F189" s="60"/>
    </row>
    <row r="190" spans="5:6" ht="12.75">
      <c r="E190" s="60"/>
      <c r="F190" s="60"/>
    </row>
    <row r="191" spans="5:6" ht="12.75">
      <c r="E191" s="60"/>
      <c r="F191" s="60"/>
    </row>
    <row r="192" spans="5:6" ht="12.75">
      <c r="E192" s="60"/>
      <c r="F192" s="60"/>
    </row>
    <row r="193" spans="5:6" ht="12.75">
      <c r="E193" s="60"/>
      <c r="F193" s="60"/>
    </row>
    <row r="194" spans="5:6" ht="12.75">
      <c r="E194" s="60"/>
      <c r="F194" s="60"/>
    </row>
    <row r="195" spans="5:6" ht="12.75">
      <c r="E195" s="60"/>
      <c r="F195" s="60"/>
    </row>
    <row r="196" spans="5:6" ht="12.75">
      <c r="E196" s="60"/>
      <c r="F196" s="60"/>
    </row>
    <row r="197" spans="5:6" ht="12.75">
      <c r="E197" s="60"/>
      <c r="F197" s="60"/>
    </row>
    <row r="198" spans="5:6" ht="12.75">
      <c r="E198" s="60"/>
      <c r="F198" s="60"/>
    </row>
    <row r="199" spans="5:6" ht="12.75">
      <c r="E199" s="60"/>
      <c r="F199" s="60"/>
    </row>
    <row r="200" spans="5:6" ht="12.75">
      <c r="E200" s="60"/>
      <c r="F200" s="60"/>
    </row>
    <row r="201" spans="5:6" ht="12.75">
      <c r="E201" s="60"/>
      <c r="F201" s="60"/>
    </row>
    <row r="202" spans="5:6" ht="12.75">
      <c r="E202" s="60"/>
      <c r="F202" s="60"/>
    </row>
    <row r="203" spans="5:6" ht="12.75">
      <c r="E203" s="60"/>
      <c r="F203" s="60"/>
    </row>
    <row r="204" spans="5:6" ht="12.75">
      <c r="E204" s="60"/>
      <c r="F204" s="60"/>
    </row>
    <row r="205" spans="5:6" ht="12.75">
      <c r="E205" s="60"/>
      <c r="F205" s="60"/>
    </row>
    <row r="206" spans="5:6" ht="12.75">
      <c r="E206" s="60"/>
      <c r="F206" s="60"/>
    </row>
    <row r="207" spans="5:6" ht="12.75">
      <c r="E207" s="60"/>
      <c r="F207" s="60"/>
    </row>
    <row r="208" spans="5:6" ht="12.75">
      <c r="E208" s="60"/>
      <c r="F208" s="60"/>
    </row>
    <row r="209" spans="5:6" ht="12.75">
      <c r="E209" s="60"/>
      <c r="F209" s="60"/>
    </row>
    <row r="210" spans="5:6" ht="12.75">
      <c r="E210" s="60"/>
      <c r="F210" s="60"/>
    </row>
    <row r="211" spans="5:6" ht="12.75">
      <c r="E211" s="60"/>
      <c r="F211" s="60"/>
    </row>
    <row r="212" spans="5:6" ht="12.75">
      <c r="E212" s="60"/>
      <c r="F212" s="60"/>
    </row>
    <row r="213" spans="5:6" ht="12.75">
      <c r="E213" s="60"/>
      <c r="F213" s="60"/>
    </row>
    <row r="214" spans="5:6" ht="12.75">
      <c r="E214" s="60"/>
      <c r="F214" s="60"/>
    </row>
    <row r="215" spans="5:6" ht="12.75">
      <c r="E215" s="60"/>
      <c r="F215" s="60"/>
    </row>
    <row r="216" spans="5:6" ht="12.75">
      <c r="E216" s="60"/>
      <c r="F216" s="60"/>
    </row>
    <row r="217" spans="5:6" ht="12.75">
      <c r="E217" s="60"/>
      <c r="F217" s="60"/>
    </row>
    <row r="218" spans="5:6" ht="12.75">
      <c r="E218" s="60"/>
      <c r="F218" s="60"/>
    </row>
    <row r="219" spans="5:6" ht="12.75">
      <c r="E219" s="60"/>
      <c r="F219" s="60"/>
    </row>
    <row r="220" spans="5:6" ht="12.75">
      <c r="E220" s="60"/>
      <c r="F220" s="60"/>
    </row>
    <row r="221" spans="5:6" ht="12.75">
      <c r="E221" s="60"/>
      <c r="F221" s="60"/>
    </row>
    <row r="222" spans="5:6" ht="12.75">
      <c r="E222" s="60"/>
      <c r="F222" s="60"/>
    </row>
    <row r="223" spans="5:6" ht="12.75">
      <c r="E223" s="60"/>
      <c r="F223" s="60"/>
    </row>
    <row r="224" spans="5:6" ht="12.75">
      <c r="E224" s="60"/>
      <c r="F224" s="60"/>
    </row>
    <row r="225" spans="5:6" ht="12.75">
      <c r="E225" s="60"/>
      <c r="F225" s="60"/>
    </row>
    <row r="226" spans="5:6" ht="12.75">
      <c r="E226" s="60"/>
      <c r="F226" s="60"/>
    </row>
    <row r="227" spans="5:6" ht="12.75">
      <c r="E227" s="60"/>
      <c r="F227" s="60"/>
    </row>
    <row r="228" spans="5:6" ht="12.75">
      <c r="E228" s="60"/>
      <c r="F228" s="60"/>
    </row>
    <row r="229" spans="5:6" ht="12.75">
      <c r="E229" s="60"/>
      <c r="F229" s="60"/>
    </row>
    <row r="230" spans="5:6" ht="12.75">
      <c r="E230" s="60"/>
      <c r="F230" s="60"/>
    </row>
    <row r="231" spans="5:6" ht="12.75">
      <c r="E231" s="60"/>
      <c r="F231" s="60"/>
    </row>
    <row r="232" spans="5:6" ht="12.75">
      <c r="E232" s="60"/>
      <c r="F232" s="60"/>
    </row>
    <row r="233" spans="5:6" ht="12.75">
      <c r="E233" s="60"/>
      <c r="F233" s="60"/>
    </row>
    <row r="234" spans="5:6" ht="12.75">
      <c r="E234" s="60"/>
      <c r="F234" s="60"/>
    </row>
    <row r="235" spans="5:6" ht="12.75">
      <c r="E235" s="60"/>
      <c r="F235" s="60"/>
    </row>
    <row r="236" spans="5:6" ht="12.75">
      <c r="E236" s="60"/>
      <c r="F236" s="60"/>
    </row>
    <row r="237" spans="5:6" ht="12.75">
      <c r="E237" s="60"/>
      <c r="F237" s="60"/>
    </row>
    <row r="238" spans="5:6" ht="12.75">
      <c r="E238" s="60"/>
      <c r="F238" s="60"/>
    </row>
    <row r="239" spans="5:6" ht="12.75">
      <c r="E239" s="60"/>
      <c r="F239" s="60"/>
    </row>
    <row r="240" spans="5:6" ht="12.75">
      <c r="E240" s="60"/>
      <c r="F240" s="60"/>
    </row>
    <row r="65536" ht="12.75">
      <c r="E65536" s="60"/>
    </row>
  </sheetData>
  <sheetProtection password="C53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37">
      <selection activeCell="L61" sqref="L61"/>
    </sheetView>
  </sheetViews>
  <sheetFormatPr defaultColWidth="0" defaultRowHeight="12.75"/>
  <cols>
    <col min="1" max="1" width="10.8515625" style="119" bestFit="1" customWidth="1"/>
    <col min="2" max="2" width="10.00390625" style="105" customWidth="1"/>
    <col min="3" max="3" width="14.7109375" style="123" bestFit="1" customWidth="1"/>
    <col min="4" max="4" width="14.28125" style="123" hidden="1" customWidth="1"/>
    <col min="5" max="5" width="15.57421875" style="105" hidden="1" customWidth="1"/>
    <col min="6" max="6" width="17.8515625" style="105" hidden="1" customWidth="1"/>
    <col min="7" max="7" width="13.8515625" style="105" hidden="1" customWidth="1"/>
    <col min="8" max="8" width="12.57421875" style="105" hidden="1" customWidth="1"/>
    <col min="9" max="9" width="10.140625" style="119" hidden="1" customWidth="1"/>
    <col min="10" max="10" width="12.140625" style="119" hidden="1" customWidth="1"/>
    <col min="11" max="11" width="14.57421875" style="119" hidden="1" customWidth="1"/>
    <col min="12" max="12" width="17.421875" style="105" bestFit="1" customWidth="1"/>
    <col min="13" max="13" width="18.421875" style="105" bestFit="1" customWidth="1"/>
    <col min="14" max="14" width="19.140625" style="105" bestFit="1" customWidth="1"/>
    <col min="15" max="15" width="18.421875" style="105" bestFit="1" customWidth="1"/>
    <col min="16" max="16384" width="0" style="105" hidden="1" customWidth="1"/>
  </cols>
  <sheetData>
    <row r="1" spans="1:15" s="94" customFormat="1" ht="13.5" thickBot="1">
      <c r="A1" s="86" t="s">
        <v>0</v>
      </c>
      <c r="B1" s="87" t="s">
        <v>17</v>
      </c>
      <c r="C1" s="88" t="s">
        <v>6</v>
      </c>
      <c r="D1" s="88" t="s">
        <v>54</v>
      </c>
      <c r="E1" s="87" t="s">
        <v>55</v>
      </c>
      <c r="F1" s="87" t="s">
        <v>56</v>
      </c>
      <c r="G1" s="87" t="s">
        <v>57</v>
      </c>
      <c r="H1" s="89" t="s">
        <v>16</v>
      </c>
      <c r="I1" s="90" t="s">
        <v>29</v>
      </c>
      <c r="J1" s="91" t="s">
        <v>30</v>
      </c>
      <c r="K1" s="92" t="s">
        <v>41</v>
      </c>
      <c r="L1" s="86" t="s">
        <v>58</v>
      </c>
      <c r="M1" s="88" t="s">
        <v>60</v>
      </c>
      <c r="N1" s="88" t="s">
        <v>61</v>
      </c>
      <c r="O1" s="93" t="s">
        <v>62</v>
      </c>
    </row>
    <row r="2" spans="1:15" ht="12.75">
      <c r="A2" s="95">
        <f>+'CALCULADORA TIPS Pesos E-14'!C12</f>
        <v>40290</v>
      </c>
      <c r="B2" s="96">
        <f>IF(DIAS365('CALCULADORA TIPS Pesos E-14'!$E$6,A2)&lt;0,0,DIAS365('CALCULADORA TIPS Pesos E-14'!$E$6,A2))</f>
        <v>0</v>
      </c>
      <c r="C2" s="97">
        <v>0</v>
      </c>
      <c r="D2" s="98">
        <f>+'CALCULADORA TIPS Pesos E-14'!F15/Flujos!C183</f>
        <v>100</v>
      </c>
      <c r="E2" s="99">
        <v>0</v>
      </c>
      <c r="F2" s="99">
        <v>0</v>
      </c>
      <c r="G2" s="99">
        <f>F2+E2</f>
        <v>0</v>
      </c>
      <c r="H2" s="100">
        <f>IF($B2&lt;0,0,G2/POWER(1+'CALCULADORA TIPS Pesos E-14'!$F$11,Flujos!$B2/365))</f>
        <v>0</v>
      </c>
      <c r="I2" s="101">
        <f>+A2</f>
        <v>40290</v>
      </c>
      <c r="J2" s="65">
        <v>0</v>
      </c>
      <c r="K2" s="102">
        <v>0</v>
      </c>
      <c r="L2" s="138">
        <f>+Características!B18/Flujos!C183</f>
        <v>421576273687.31683</v>
      </c>
      <c r="M2" s="103">
        <v>0</v>
      </c>
      <c r="N2" s="103">
        <v>0</v>
      </c>
      <c r="O2" s="104">
        <f>+N2+M2</f>
        <v>0</v>
      </c>
    </row>
    <row r="3" spans="1:15" ht="12.75">
      <c r="A3" s="95">
        <f aca="true" t="shared" si="0" ref="A3:A34">_XLL.FECHA.MES(A2,1)</f>
        <v>40320</v>
      </c>
      <c r="B3" s="96">
        <f>IF(DIAS365('CALCULADORA TIPS Pesos E-14'!$E$6,A3)&lt;0,0,DIAS365('CALCULADORA TIPS Pesos E-14'!$E$6,A3))</f>
        <v>0</v>
      </c>
      <c r="C3" s="97">
        <f>+HLOOKUP('CALCULADORA TIPS Pesos E-14'!$E$4,Tablas!$B$1:$B$181,Flujos!J3+1,FALSE)</f>
        <v>0.02273983</v>
      </c>
      <c r="D3" s="98">
        <f>+ROUND(D2-E3,6)</f>
        <v>97.726017</v>
      </c>
      <c r="E3" s="99">
        <f>ROUND(C3*$D$2,6)</f>
        <v>2.273983</v>
      </c>
      <c r="F3" s="99">
        <f>ROUND(D2*ROUND(((1+'CALCULADORA TIPS Pesos E-14'!$C$14)^(1/12)-1),6),6)</f>
        <v>0.5175</v>
      </c>
      <c r="G3" s="99">
        <f>F3+E3</f>
        <v>2.791483</v>
      </c>
      <c r="H3" s="100">
        <f>IF($B3=0,0,G3/POWER(1+'CALCULADORA TIPS Pesos E-14'!$F$11,Flujos!$B3/365))</f>
        <v>0</v>
      </c>
      <c r="I3" s="101">
        <f aca="true" t="shared" si="1" ref="I3:I66">+A3</f>
        <v>40320</v>
      </c>
      <c r="J3" s="65">
        <v>1</v>
      </c>
      <c r="K3" s="102">
        <f>+DIAS365($A$2,A3)</f>
        <v>30</v>
      </c>
      <c r="L3" s="106">
        <f>+L2-M3</f>
        <v>411989700891.6338</v>
      </c>
      <c r="M3" s="103">
        <f>+$L$2*C3</f>
        <v>9586572795.683058</v>
      </c>
      <c r="N3" s="103">
        <f>+L2*$F$3%</f>
        <v>2181657216.3318644</v>
      </c>
      <c r="O3" s="104">
        <f>+N3+M3</f>
        <v>11768230012.014923</v>
      </c>
    </row>
    <row r="4" spans="1:15" s="151" customFormat="1" ht="12.75">
      <c r="A4" s="139">
        <f t="shared" si="0"/>
        <v>40351</v>
      </c>
      <c r="B4" s="140">
        <f>IF(DIAS365('CALCULADORA TIPS Pesos E-14'!$E$6,A4)&lt;0,0,DIAS365('CALCULADORA TIPS Pesos E-14'!$E$6,A4))</f>
        <v>0</v>
      </c>
      <c r="C4" s="141">
        <f>+HLOOKUP('CALCULADORA TIPS Pesos E-14'!$E$4,Tablas!$B$1:$B$181,Flujos!J4+1,FALSE)</f>
        <v>0.01647674</v>
      </c>
      <c r="D4" s="142">
        <f aca="true" t="shared" si="2" ref="D4:D67">+ROUND(D3-E4,6)</f>
        <v>96.078343</v>
      </c>
      <c r="E4" s="143">
        <f aca="true" t="shared" si="3" ref="E4:E67">ROUND(C4*$D$2,6)</f>
        <v>1.647674</v>
      </c>
      <c r="F4" s="143">
        <f>ROUND(D3*ROUND(((1+'CALCULADORA TIPS Pesos E-14'!$C$14)^(1/12)-1),6),6)</f>
        <v>0.505732</v>
      </c>
      <c r="G4" s="143">
        <f aca="true" t="shared" si="4" ref="G4:G67">F4+E4</f>
        <v>2.153406</v>
      </c>
      <c r="H4" s="144">
        <f>IF($B4=0,0,G4/POWER(1+'CALCULADORA TIPS Pesos E-14'!$F$11,Flujos!$B4/365))</f>
        <v>0</v>
      </c>
      <c r="I4" s="145">
        <f t="shared" si="1"/>
        <v>40351</v>
      </c>
      <c r="J4" s="146">
        <v>2</v>
      </c>
      <c r="K4" s="147">
        <f aca="true" t="shared" si="5" ref="K4:K67">+DIAS365($A$2,A4)</f>
        <v>61</v>
      </c>
      <c r="L4" s="148">
        <f aca="true" t="shared" si="6" ref="L4:L67">+L3-M4</f>
        <v>405043498239.919</v>
      </c>
      <c r="M4" s="149">
        <f aca="true" t="shared" si="7" ref="M4:M67">+$L$2*C4</f>
        <v>6946202651.714761</v>
      </c>
      <c r="N4" s="149">
        <f aca="true" t="shared" si="8" ref="N4:N67">+L3*$F$3%</f>
        <v>2132046702.114205</v>
      </c>
      <c r="O4" s="150">
        <f aca="true" t="shared" si="9" ref="O4:O67">+N4+M4</f>
        <v>9078249353.828966</v>
      </c>
    </row>
    <row r="5" spans="1:15" ht="12.75">
      <c r="A5" s="95">
        <f t="shared" si="0"/>
        <v>40381</v>
      </c>
      <c r="B5" s="96">
        <f>IF(DIAS365('CALCULADORA TIPS Pesos E-14'!$E$6,A5)&lt;0,0,DIAS365('CALCULADORA TIPS Pesos E-14'!$E$6,A5))</f>
        <v>0</v>
      </c>
      <c r="C5" s="97">
        <f>+HLOOKUP('CALCULADORA TIPS Pesos E-14'!$E$4,Tablas!$B$1:$B$181,Flujos!J5+1,FALSE)</f>
        <v>0.03118638</v>
      </c>
      <c r="D5" s="98">
        <f t="shared" si="2"/>
        <v>92.959705</v>
      </c>
      <c r="E5" s="99">
        <f t="shared" si="3"/>
        <v>3.118638</v>
      </c>
      <c r="F5" s="99">
        <f>ROUND(D4*ROUND(((1+'CALCULADORA TIPS Pesos E-14'!$C$14)^(1/12)-1),6),6)</f>
        <v>0.497205</v>
      </c>
      <c r="G5" s="99">
        <f t="shared" si="4"/>
        <v>3.615843</v>
      </c>
      <c r="H5" s="100">
        <f>IF($B5=0,0,G5/POWER(1+'CALCULADORA TIPS Pesos E-14'!$F$11,Flujos!$B5/365))</f>
        <v>0</v>
      </c>
      <c r="I5" s="101">
        <f t="shared" si="1"/>
        <v>40381</v>
      </c>
      <c r="J5" s="65">
        <v>3</v>
      </c>
      <c r="K5" s="102">
        <f t="shared" si="5"/>
        <v>91</v>
      </c>
      <c r="L5" s="106">
        <f t="shared" si="6"/>
        <v>391896060369.72235</v>
      </c>
      <c r="M5" s="103">
        <f t="shared" si="7"/>
        <v>13147437870.196663</v>
      </c>
      <c r="N5" s="103">
        <f t="shared" si="8"/>
        <v>2096100103.3915808</v>
      </c>
      <c r="O5" s="104">
        <f t="shared" si="9"/>
        <v>15243537973.588243</v>
      </c>
    </row>
    <row r="6" spans="1:15" ht="12.75">
      <c r="A6" s="95">
        <f t="shared" si="0"/>
        <v>40412</v>
      </c>
      <c r="B6" s="96">
        <f>IF(DIAS365('CALCULADORA TIPS Pesos E-14'!$E$6,A6)&lt;0,0,DIAS365('CALCULADORA TIPS Pesos E-14'!$E$6,A6))</f>
        <v>0</v>
      </c>
      <c r="C6" s="97">
        <f>+HLOOKUP('CALCULADORA TIPS Pesos E-14'!$E$4,Tablas!$B$1:$B$181,Flujos!J6+1,FALSE)</f>
        <v>0.02786144</v>
      </c>
      <c r="D6" s="98">
        <f t="shared" si="2"/>
        <v>90.173561</v>
      </c>
      <c r="E6" s="99">
        <f t="shared" si="3"/>
        <v>2.786144</v>
      </c>
      <c r="F6" s="99">
        <f>ROUND(D5*ROUND(((1+'CALCULADORA TIPS Pesos E-14'!$C$14)^(1/12)-1),6),6)</f>
        <v>0.481066</v>
      </c>
      <c r="G6" s="99">
        <f t="shared" si="4"/>
        <v>3.2672100000000004</v>
      </c>
      <c r="H6" s="100">
        <f>IF($B6=0,0,G6/POWER(1+'CALCULADORA TIPS Pesos E-14'!$F$11,Flujos!$B6/365))</f>
        <v>0</v>
      </c>
      <c r="I6" s="101">
        <f t="shared" si="1"/>
        <v>40412</v>
      </c>
      <c r="J6" s="65">
        <v>4</v>
      </c>
      <c r="K6" s="102">
        <f t="shared" si="5"/>
        <v>122</v>
      </c>
      <c r="L6" s="106">
        <f t="shared" si="6"/>
        <v>380150338314.9596</v>
      </c>
      <c r="M6" s="103">
        <f t="shared" si="7"/>
        <v>11745722054.762756</v>
      </c>
      <c r="N6" s="103">
        <f t="shared" si="8"/>
        <v>2028062112.4133132</v>
      </c>
      <c r="O6" s="104">
        <f t="shared" si="9"/>
        <v>13773784167.17607</v>
      </c>
    </row>
    <row r="7" spans="1:15" ht="12.75">
      <c r="A7" s="95">
        <f t="shared" si="0"/>
        <v>40443</v>
      </c>
      <c r="B7" s="96">
        <f>IF(DIAS365('CALCULADORA TIPS Pesos E-14'!$E$6,A7)&lt;0,0,DIAS365('CALCULADORA TIPS Pesos E-14'!$E$6,A7))</f>
        <v>0</v>
      </c>
      <c r="C7" s="97">
        <f>+HLOOKUP('CALCULADORA TIPS Pesos E-14'!$E$4,Tablas!$B$1:$B$181,Flujos!J7+1,FALSE)</f>
        <v>0.03057498</v>
      </c>
      <c r="D7" s="98">
        <f t="shared" si="2"/>
        <v>87.116063</v>
      </c>
      <c r="E7" s="99">
        <f t="shared" si="3"/>
        <v>3.057498</v>
      </c>
      <c r="F7" s="99">
        <f>ROUND(D6*ROUND(((1+'CALCULADORA TIPS Pesos E-14'!$C$14)^(1/12)-1),6),6)</f>
        <v>0.466648</v>
      </c>
      <c r="G7" s="99">
        <f t="shared" si="4"/>
        <v>3.524146</v>
      </c>
      <c r="H7" s="100">
        <f>IF($B7=0,0,G7/POWER(1+'CALCULADORA TIPS Pesos E-14'!$F$11,Flujos!$B7/365))</f>
        <v>0</v>
      </c>
      <c r="I7" s="101">
        <f t="shared" si="1"/>
        <v>40443</v>
      </c>
      <c r="J7" s="65">
        <v>5</v>
      </c>
      <c r="K7" s="102">
        <f t="shared" si="5"/>
        <v>153</v>
      </c>
      <c r="L7" s="106">
        <f t="shared" si="6"/>
        <v>367260652178.49536</v>
      </c>
      <c r="M7" s="103">
        <f t="shared" si="7"/>
        <v>12889686136.46424</v>
      </c>
      <c r="N7" s="103">
        <f t="shared" si="8"/>
        <v>1967278000.7799158</v>
      </c>
      <c r="O7" s="104">
        <f t="shared" si="9"/>
        <v>14856964137.244156</v>
      </c>
    </row>
    <row r="8" spans="1:15" s="151" customFormat="1" ht="12.75">
      <c r="A8" s="139">
        <f t="shared" si="0"/>
        <v>40473</v>
      </c>
      <c r="B8" s="140">
        <f>IF(DIAS365('CALCULADORA TIPS Pesos E-14'!$E$6,A8)&lt;0,0,DIAS365('CALCULADORA TIPS Pesos E-14'!$E$6,A8))</f>
        <v>0</v>
      </c>
      <c r="C8" s="141">
        <f>+HLOOKUP('CALCULADORA TIPS Pesos E-14'!$E$4,Tablas!$B$1:$B$181,Flujos!J8+1,FALSE)</f>
        <v>0.04545561</v>
      </c>
      <c r="D8" s="142">
        <f t="shared" si="2"/>
        <v>82.570502</v>
      </c>
      <c r="E8" s="143">
        <f t="shared" si="3"/>
        <v>4.545561</v>
      </c>
      <c r="F8" s="143">
        <f>ROUND(D7*ROUND(((1+'CALCULADORA TIPS Pesos E-14'!$C$14)^(1/12)-1),6),6)</f>
        <v>0.450826</v>
      </c>
      <c r="G8" s="143">
        <f t="shared" si="4"/>
        <v>4.996387</v>
      </c>
      <c r="H8" s="144">
        <f>IF($B8=0,0,G8/POWER(1+'CALCULADORA TIPS Pesos E-14'!$F$11,Flujos!$B8/365))</f>
        <v>0</v>
      </c>
      <c r="I8" s="145">
        <f t="shared" si="1"/>
        <v>40473</v>
      </c>
      <c r="J8" s="146">
        <v>6</v>
      </c>
      <c r="K8" s="147">
        <f t="shared" si="5"/>
        <v>183</v>
      </c>
      <c r="L8" s="148">
        <f t="shared" si="6"/>
        <v>348097645496.5114</v>
      </c>
      <c r="M8" s="149">
        <f t="shared" si="7"/>
        <v>19163006681.983936</v>
      </c>
      <c r="N8" s="149">
        <f t="shared" si="8"/>
        <v>1900573875.0237134</v>
      </c>
      <c r="O8" s="150">
        <f t="shared" si="9"/>
        <v>21063580557.00765</v>
      </c>
    </row>
    <row r="9" spans="1:15" ht="12.75">
      <c r="A9" s="95">
        <f t="shared" si="0"/>
        <v>40504</v>
      </c>
      <c r="B9" s="96">
        <f>IF(DIAS365('CALCULADORA TIPS Pesos E-14'!$E$6,A9)&lt;0,0,DIAS365('CALCULADORA TIPS Pesos E-14'!$E$6,A9))</f>
        <v>0</v>
      </c>
      <c r="C9" s="97">
        <f>+HLOOKUP('CALCULADORA TIPS Pesos E-14'!$E$4,Tablas!$B$1:$B$181,Flujos!J9+1,FALSE)</f>
        <v>0.05209354</v>
      </c>
      <c r="D9" s="98">
        <f t="shared" si="2"/>
        <v>77.361148</v>
      </c>
      <c r="E9" s="99">
        <f t="shared" si="3"/>
        <v>5.209354</v>
      </c>
      <c r="F9" s="99">
        <f>ROUND(D8*ROUND(((1+'CALCULADORA TIPS Pesos E-14'!$C$14)^(1/12)-1),6),6)</f>
        <v>0.427302</v>
      </c>
      <c r="G9" s="99">
        <f t="shared" si="4"/>
        <v>5.636656</v>
      </c>
      <c r="H9" s="100">
        <f>IF($B9=0,0,G9/POWER(1+'CALCULADORA TIPS Pesos E-14'!$F$11,Flujos!$B9/365))</f>
        <v>0</v>
      </c>
      <c r="I9" s="101">
        <f t="shared" si="1"/>
        <v>40504</v>
      </c>
      <c r="J9" s="65">
        <v>7</v>
      </c>
      <c r="K9" s="102">
        <f t="shared" si="5"/>
        <v>214</v>
      </c>
      <c r="L9" s="106">
        <f t="shared" si="6"/>
        <v>326136245020.13025</v>
      </c>
      <c r="M9" s="103">
        <f t="shared" si="7"/>
        <v>21961400476.381187</v>
      </c>
      <c r="N9" s="103">
        <f t="shared" si="8"/>
        <v>1801405315.4444466</v>
      </c>
      <c r="O9" s="104">
        <f t="shared" si="9"/>
        <v>23762805791.825634</v>
      </c>
    </row>
    <row r="10" spans="1:15" s="151" customFormat="1" ht="12.75">
      <c r="A10" s="139">
        <f t="shared" si="0"/>
        <v>40534</v>
      </c>
      <c r="B10" s="140">
        <f>IF(DIAS365('CALCULADORA TIPS Pesos E-14'!$E$6,A10)&lt;0,0,DIAS365('CALCULADORA TIPS Pesos E-14'!$E$6,A10))</f>
        <v>0</v>
      </c>
      <c r="C10" s="141">
        <f>+HLOOKUP('CALCULADORA TIPS Pesos E-14'!$E$4,Tablas!$B$1:$B$181,Flujos!J10+1,FALSE)</f>
        <v>0.03727304</v>
      </c>
      <c r="D10" s="142">
        <f t="shared" si="2"/>
        <v>73.633844</v>
      </c>
      <c r="E10" s="143">
        <f t="shared" si="3"/>
        <v>3.727304</v>
      </c>
      <c r="F10" s="143">
        <f>ROUND(D9*ROUND(((1+'CALCULADORA TIPS Pesos E-14'!$C$14)^(1/12)-1),6),6)</f>
        <v>0.400344</v>
      </c>
      <c r="G10" s="143">
        <f t="shared" si="4"/>
        <v>4.127648</v>
      </c>
      <c r="H10" s="144">
        <f>IF($B10=0,0,G10/POWER(1+'CALCULADORA TIPS Pesos E-14'!$F$11,Flujos!$B10/365))</f>
        <v>0</v>
      </c>
      <c r="I10" s="145">
        <f t="shared" si="1"/>
        <v>40534</v>
      </c>
      <c r="J10" s="146">
        <v>8</v>
      </c>
      <c r="K10" s="147">
        <f t="shared" si="5"/>
        <v>244</v>
      </c>
      <c r="L10" s="148">
        <f t="shared" si="6"/>
        <v>310422815707.93195</v>
      </c>
      <c r="M10" s="149">
        <f t="shared" si="7"/>
        <v>15713429312.198307</v>
      </c>
      <c r="N10" s="149">
        <f t="shared" si="8"/>
        <v>1687755067.979174</v>
      </c>
      <c r="O10" s="150">
        <f t="shared" si="9"/>
        <v>17401184380.177483</v>
      </c>
    </row>
    <row r="11" spans="1:15" s="151" customFormat="1" ht="12.75">
      <c r="A11" s="139">
        <f t="shared" si="0"/>
        <v>40565</v>
      </c>
      <c r="B11" s="140">
        <f>IF(DIAS365('CALCULADORA TIPS Pesos E-14'!$E$6,A11)&lt;0,0,DIAS365('CALCULADORA TIPS Pesos E-14'!$E$6,A11))</f>
        <v>0</v>
      </c>
      <c r="C11" s="141">
        <f>+HLOOKUP('CALCULADORA TIPS Pesos E-14'!$E$4,Tablas!$B$1:$B$181,Flujos!J11+1,FALSE)</f>
        <v>0.032033</v>
      </c>
      <c r="D11" s="142">
        <f t="shared" si="2"/>
        <v>70.430544</v>
      </c>
      <c r="E11" s="143">
        <f t="shared" si="3"/>
        <v>3.2033</v>
      </c>
      <c r="F11" s="143">
        <f>ROUND(D10*ROUND(((1+'CALCULADORA TIPS Pesos E-14'!$C$14)^(1/12)-1),6),6)</f>
        <v>0.381055</v>
      </c>
      <c r="G11" s="143">
        <f t="shared" si="4"/>
        <v>3.584355</v>
      </c>
      <c r="H11" s="144">
        <f>IF($B11=0,0,G11/POWER(1+'CALCULADORA TIPS Pesos E-14'!$F$11,Flujos!$B11/365))</f>
        <v>0</v>
      </c>
      <c r="I11" s="145">
        <f t="shared" si="1"/>
        <v>40565</v>
      </c>
      <c r="J11" s="146">
        <v>9</v>
      </c>
      <c r="K11" s="147">
        <f t="shared" si="5"/>
        <v>275</v>
      </c>
      <c r="L11" s="148">
        <f t="shared" si="6"/>
        <v>296918462932.9061</v>
      </c>
      <c r="M11" s="149">
        <f t="shared" si="7"/>
        <v>13504352775.02582</v>
      </c>
      <c r="N11" s="149">
        <f t="shared" si="8"/>
        <v>1606438071.2885478</v>
      </c>
      <c r="O11" s="150">
        <f t="shared" si="9"/>
        <v>15110790846.314367</v>
      </c>
    </row>
    <row r="12" spans="1:15" ht="12.75">
      <c r="A12" s="95">
        <f t="shared" si="0"/>
        <v>40596</v>
      </c>
      <c r="B12" s="96">
        <f>IF(DIAS365('CALCULADORA TIPS Pesos E-14'!$E$6,A12)&lt;0,0,DIAS365('CALCULADORA TIPS Pesos E-14'!$E$6,A12))</f>
        <v>0</v>
      </c>
      <c r="C12" s="97">
        <f>+HLOOKUP('CALCULADORA TIPS Pesos E-14'!$E$4,Tablas!$B$1:$B$181,Flujos!J12+1,FALSE)</f>
        <v>0.0301387</v>
      </c>
      <c r="D12" s="98">
        <f t="shared" si="2"/>
        <v>67.416674</v>
      </c>
      <c r="E12" s="99">
        <f t="shared" si="3"/>
        <v>3.01387</v>
      </c>
      <c r="F12" s="99">
        <f>ROUND(D11*ROUND(((1+'CALCULADORA TIPS Pesos E-14'!$C$14)^(1/12)-1),6),6)</f>
        <v>0.364478</v>
      </c>
      <c r="G12" s="99">
        <f t="shared" si="4"/>
        <v>3.378348</v>
      </c>
      <c r="H12" s="100">
        <f>IF($B12=0,0,G12/POWER(1+'CALCULADORA TIPS Pesos E-14'!$F$11,Flujos!$B12/365))</f>
        <v>0</v>
      </c>
      <c r="I12" s="101">
        <f t="shared" si="1"/>
        <v>40596</v>
      </c>
      <c r="J12" s="65">
        <v>10</v>
      </c>
      <c r="K12" s="102">
        <f t="shared" si="5"/>
        <v>306</v>
      </c>
      <c r="L12" s="106">
        <f t="shared" si="6"/>
        <v>284212702093.1262</v>
      </c>
      <c r="M12" s="103">
        <f t="shared" si="7"/>
        <v>12705760839.779936</v>
      </c>
      <c r="N12" s="103">
        <f t="shared" si="8"/>
        <v>1536553045.6777892</v>
      </c>
      <c r="O12" s="104">
        <f t="shared" si="9"/>
        <v>14242313885.457726</v>
      </c>
    </row>
    <row r="13" spans="1:15" ht="12.75">
      <c r="A13" s="95">
        <f t="shared" si="0"/>
        <v>40624</v>
      </c>
      <c r="B13" s="96">
        <f>IF(DIAS365('CALCULADORA TIPS Pesos E-14'!$E$6,A13)&lt;0,0,DIAS365('CALCULADORA TIPS Pesos E-14'!$E$6,A13))</f>
        <v>0</v>
      </c>
      <c r="C13" s="97">
        <f>+HLOOKUP('CALCULADORA TIPS Pesos E-14'!$E$4,Tablas!$B$1:$B$181,Flujos!J13+1,FALSE)</f>
        <v>0.03311369</v>
      </c>
      <c r="D13" s="98">
        <f t="shared" si="2"/>
        <v>64.105305</v>
      </c>
      <c r="E13" s="99">
        <f t="shared" si="3"/>
        <v>3.311369</v>
      </c>
      <c r="F13" s="99">
        <f>ROUND(D12*ROUND(((1+'CALCULADORA TIPS Pesos E-14'!$C$14)^(1/12)-1),6),6)</f>
        <v>0.348881</v>
      </c>
      <c r="G13" s="99">
        <f t="shared" si="4"/>
        <v>3.66025</v>
      </c>
      <c r="H13" s="100">
        <f>IF($B13=0,0,G13/POWER(1+'CALCULADORA TIPS Pesos E-14'!$F$11,Flujos!$B13/365))</f>
        <v>0</v>
      </c>
      <c r="I13" s="101">
        <f t="shared" si="1"/>
        <v>40624</v>
      </c>
      <c r="J13" s="65">
        <v>11</v>
      </c>
      <c r="K13" s="102">
        <f t="shared" si="5"/>
        <v>334</v>
      </c>
      <c r="L13" s="106">
        <f t="shared" si="6"/>
        <v>270252756054.88925</v>
      </c>
      <c r="M13" s="103">
        <f t="shared" si="7"/>
        <v>13959946038.236967</v>
      </c>
      <c r="N13" s="103">
        <f t="shared" si="8"/>
        <v>1470800733.3319283</v>
      </c>
      <c r="O13" s="104">
        <f t="shared" si="9"/>
        <v>15430746771.568895</v>
      </c>
    </row>
    <row r="14" spans="1:15" ht="12.75">
      <c r="A14" s="95">
        <f t="shared" si="0"/>
        <v>40655</v>
      </c>
      <c r="B14" s="96">
        <f>IF(DIAS365('CALCULADORA TIPS Pesos E-14'!$E$6,A14)&lt;0,0,DIAS365('CALCULADORA TIPS Pesos E-14'!$E$6,A14))</f>
        <v>0</v>
      </c>
      <c r="C14" s="97">
        <f>+HLOOKUP('CALCULADORA TIPS Pesos E-14'!$E$4,Tablas!$B$1:$B$181,Flujos!J14+1,FALSE)</f>
        <v>0.0283669</v>
      </c>
      <c r="D14" s="98">
        <f t="shared" si="2"/>
        <v>61.268615</v>
      </c>
      <c r="E14" s="99">
        <f t="shared" si="3"/>
        <v>2.83669</v>
      </c>
      <c r="F14" s="99">
        <f>ROUND(D13*ROUND(((1+'CALCULADORA TIPS Pesos E-14'!$C$14)^(1/12)-1),6),6)</f>
        <v>0.331745</v>
      </c>
      <c r="G14" s="99">
        <f t="shared" si="4"/>
        <v>3.168435</v>
      </c>
      <c r="H14" s="100">
        <f>IF($B14=0,0,G14/POWER(1+'CALCULADORA TIPS Pesos E-14'!$F$11,Flujos!$B14/365))</f>
        <v>0</v>
      </c>
      <c r="I14" s="101">
        <f t="shared" si="1"/>
        <v>40655</v>
      </c>
      <c r="J14" s="65">
        <v>12</v>
      </c>
      <c r="K14" s="102">
        <f t="shared" si="5"/>
        <v>365</v>
      </c>
      <c r="L14" s="106">
        <f t="shared" si="6"/>
        <v>258293944056.8285</v>
      </c>
      <c r="M14" s="103">
        <f t="shared" si="7"/>
        <v>11958811998.060747</v>
      </c>
      <c r="N14" s="103">
        <f t="shared" si="8"/>
        <v>1398558012.5840518</v>
      </c>
      <c r="O14" s="104">
        <f t="shared" si="9"/>
        <v>13357370010.644798</v>
      </c>
    </row>
    <row r="15" spans="1:15" ht="12.75">
      <c r="A15" s="95">
        <f t="shared" si="0"/>
        <v>40685</v>
      </c>
      <c r="B15" s="96">
        <f>IF(DIAS365('CALCULADORA TIPS Pesos E-14'!$E$6,A15)&lt;0,0,DIAS365('CALCULADORA TIPS Pesos E-14'!$E$6,A15))</f>
        <v>0</v>
      </c>
      <c r="C15" s="97">
        <f>+HLOOKUP('CALCULADORA TIPS Pesos E-14'!$E$4,Tablas!$B$1:$B$181,Flujos!J15+1,FALSE)</f>
        <v>0.0213269</v>
      </c>
      <c r="D15" s="98">
        <f t="shared" si="2"/>
        <v>59.135925</v>
      </c>
      <c r="E15" s="99">
        <f t="shared" si="3"/>
        <v>2.13269</v>
      </c>
      <c r="F15" s="99">
        <f>ROUND(D14*ROUND(((1+'CALCULADORA TIPS Pesos E-14'!$C$14)^(1/12)-1),6),6)</f>
        <v>0.317065</v>
      </c>
      <c r="G15" s="99">
        <f t="shared" si="4"/>
        <v>2.449755</v>
      </c>
      <c r="H15" s="100">
        <f>IF($B15=0,0,G15/POWER(1+'CALCULADORA TIPS Pesos E-14'!$F$11,Flujos!$B15/365))</f>
        <v>0</v>
      </c>
      <c r="I15" s="101">
        <f t="shared" si="1"/>
        <v>40685</v>
      </c>
      <c r="J15" s="65">
        <v>13</v>
      </c>
      <c r="K15" s="102">
        <f t="shared" si="5"/>
        <v>395</v>
      </c>
      <c r="L15" s="106">
        <f t="shared" si="6"/>
        <v>249303029025.52646</v>
      </c>
      <c r="M15" s="103">
        <f t="shared" si="7"/>
        <v>8990915031.302036</v>
      </c>
      <c r="N15" s="103">
        <f t="shared" si="8"/>
        <v>1336671160.4940875</v>
      </c>
      <c r="O15" s="104">
        <f t="shared" si="9"/>
        <v>10327586191.796124</v>
      </c>
    </row>
    <row r="16" spans="1:15" ht="12.75">
      <c r="A16" s="95">
        <f t="shared" si="0"/>
        <v>40716</v>
      </c>
      <c r="B16" s="96">
        <f>IF(DIAS365('CALCULADORA TIPS Pesos E-14'!$E$6,A16)&lt;0,0,DIAS365('CALCULADORA TIPS Pesos E-14'!$E$6,A16))</f>
        <v>0</v>
      </c>
      <c r="C16" s="97">
        <f>+HLOOKUP('CALCULADORA TIPS Pesos E-14'!$E$4,Tablas!$B$1:$B$181,Flujos!J16+1,FALSE)</f>
        <v>0.03129923</v>
      </c>
      <c r="D16" s="98">
        <f t="shared" si="2"/>
        <v>56.006002</v>
      </c>
      <c r="E16" s="99">
        <f t="shared" si="3"/>
        <v>3.129923</v>
      </c>
      <c r="F16" s="99">
        <f>ROUND(D15*ROUND(((1+'CALCULADORA TIPS Pesos E-14'!$C$14)^(1/12)-1),6),6)</f>
        <v>0.306028</v>
      </c>
      <c r="G16" s="99">
        <f t="shared" si="4"/>
        <v>3.4359509999999998</v>
      </c>
      <c r="H16" s="100">
        <f>IF($B16=0,0,G16/POWER(1+'CALCULADORA TIPS Pesos E-14'!$F$11,Flujos!$B16/365))</f>
        <v>0</v>
      </c>
      <c r="I16" s="101">
        <f t="shared" si="1"/>
        <v>40716</v>
      </c>
      <c r="J16" s="65">
        <v>14</v>
      </c>
      <c r="K16" s="102">
        <f t="shared" si="5"/>
        <v>426</v>
      </c>
      <c r="L16" s="106">
        <f t="shared" si="6"/>
        <v>236108016272.84418</v>
      </c>
      <c r="M16" s="103">
        <f t="shared" si="7"/>
        <v>13195012752.682276</v>
      </c>
      <c r="N16" s="103">
        <f t="shared" si="8"/>
        <v>1290143175.2070994</v>
      </c>
      <c r="O16" s="104">
        <f t="shared" si="9"/>
        <v>14485155927.889376</v>
      </c>
    </row>
    <row r="17" spans="1:15" ht="12.75">
      <c r="A17" s="95">
        <f t="shared" si="0"/>
        <v>40746</v>
      </c>
      <c r="B17" s="96">
        <f>IF(DIAS365('CALCULADORA TIPS Pesos E-14'!$E$6,A17)&lt;0,0,DIAS365('CALCULADORA TIPS Pesos E-14'!$E$6,A17))</f>
        <v>0</v>
      </c>
      <c r="C17" s="97">
        <f>+HLOOKUP('CALCULADORA TIPS Pesos E-14'!$E$4,Tablas!$B$1:$B$181,Flujos!J17+1,FALSE)</f>
        <v>0.02946741</v>
      </c>
      <c r="D17" s="98">
        <f t="shared" si="2"/>
        <v>53.059261</v>
      </c>
      <c r="E17" s="99">
        <f t="shared" si="3"/>
        <v>2.946741</v>
      </c>
      <c r="F17" s="99">
        <f>ROUND(D16*ROUND(((1+'CALCULADORA TIPS Pesos E-14'!$C$14)^(1/12)-1),6),6)</f>
        <v>0.289831</v>
      </c>
      <c r="G17" s="99">
        <f t="shared" si="4"/>
        <v>3.236572</v>
      </c>
      <c r="H17" s="100">
        <f>IF($B17=0,0,G17/POWER(1+'CALCULADORA TIPS Pesos E-14'!$F$11,Flujos!$B17/365))</f>
        <v>0</v>
      </c>
      <c r="I17" s="101">
        <f t="shared" si="1"/>
        <v>40746</v>
      </c>
      <c r="J17" s="65">
        <v>15</v>
      </c>
      <c r="K17" s="102">
        <f t="shared" si="5"/>
        <v>456</v>
      </c>
      <c r="L17" s="106">
        <f t="shared" si="6"/>
        <v>223685255369.8278</v>
      </c>
      <c r="M17" s="103">
        <f t="shared" si="7"/>
        <v>12422760903.016376</v>
      </c>
      <c r="N17" s="103">
        <f t="shared" si="8"/>
        <v>1221858984.2119687</v>
      </c>
      <c r="O17" s="104">
        <f t="shared" si="9"/>
        <v>13644619887.228346</v>
      </c>
    </row>
    <row r="18" spans="1:15" ht="12.75">
      <c r="A18" s="95">
        <f t="shared" si="0"/>
        <v>40777</v>
      </c>
      <c r="B18" s="96">
        <f>IF(DIAS365('CALCULADORA TIPS Pesos E-14'!$E$6,A18)&lt;0,0,DIAS365('CALCULADORA TIPS Pesos E-14'!$E$6,A18))</f>
        <v>0</v>
      </c>
      <c r="C18" s="97">
        <f>+HLOOKUP('CALCULADORA TIPS Pesos E-14'!$E$4,Tablas!$B$1:$B$181,Flujos!J18+1,FALSE)</f>
        <v>0.0211245</v>
      </c>
      <c r="D18" s="98">
        <f t="shared" si="2"/>
        <v>50.946811</v>
      </c>
      <c r="E18" s="99">
        <f t="shared" si="3"/>
        <v>2.11245</v>
      </c>
      <c r="F18" s="99">
        <f>ROUND(D17*ROUND(((1+'CALCULADORA TIPS Pesos E-14'!$C$14)^(1/12)-1),6),6)</f>
        <v>0.274582</v>
      </c>
      <c r="G18" s="99">
        <f t="shared" si="4"/>
        <v>2.387032</v>
      </c>
      <c r="H18" s="100">
        <f>IF($B18=0,0,G18/POWER(1+'CALCULADORA TIPS Pesos E-14'!$F$11,Flujos!$B18/365))</f>
        <v>0</v>
      </c>
      <c r="I18" s="101">
        <f t="shared" si="1"/>
        <v>40777</v>
      </c>
      <c r="J18" s="65">
        <v>16</v>
      </c>
      <c r="K18" s="102">
        <f t="shared" si="5"/>
        <v>487</v>
      </c>
      <c r="L18" s="106">
        <f t="shared" si="6"/>
        <v>214779667376.32007</v>
      </c>
      <c r="M18" s="103">
        <f t="shared" si="7"/>
        <v>8905587993.507725</v>
      </c>
      <c r="N18" s="103">
        <f t="shared" si="8"/>
        <v>1157571196.538859</v>
      </c>
      <c r="O18" s="104">
        <f t="shared" si="9"/>
        <v>10063159190.046583</v>
      </c>
    </row>
    <row r="19" spans="1:15" ht="12.75">
      <c r="A19" s="95">
        <f t="shared" si="0"/>
        <v>40808</v>
      </c>
      <c r="B19" s="96">
        <f>IF(DIAS365('CALCULADORA TIPS Pesos E-14'!$E$6,A19)&lt;0,0,DIAS365('CALCULADORA TIPS Pesos E-14'!$E$6,A19))</f>
        <v>0</v>
      </c>
      <c r="C19" s="97">
        <f>+HLOOKUP('CALCULADORA TIPS Pesos E-14'!$E$4,Tablas!$B$1:$B$181,Flujos!J19+1,FALSE)</f>
        <v>0.0226958</v>
      </c>
      <c r="D19" s="98">
        <f t="shared" si="2"/>
        <v>48.677231</v>
      </c>
      <c r="E19" s="99">
        <f t="shared" si="3"/>
        <v>2.26958</v>
      </c>
      <c r="F19" s="99">
        <f>ROUND(D18*ROUND(((1+'CALCULADORA TIPS Pesos E-14'!$C$14)^(1/12)-1),6),6)</f>
        <v>0.26365</v>
      </c>
      <c r="G19" s="99">
        <f t="shared" si="4"/>
        <v>2.53323</v>
      </c>
      <c r="H19" s="100">
        <f>IF($B19=0,0,G19/POWER(1+'CALCULADORA TIPS Pesos E-14'!$F$11,Flujos!$B19/365))</f>
        <v>0</v>
      </c>
      <c r="I19" s="101">
        <f t="shared" si="1"/>
        <v>40808</v>
      </c>
      <c r="J19" s="65">
        <v>17</v>
      </c>
      <c r="K19" s="102">
        <f t="shared" si="5"/>
        <v>518</v>
      </c>
      <c r="L19" s="106">
        <f t="shared" si="6"/>
        <v>205211656583.96747</v>
      </c>
      <c r="M19" s="103">
        <f t="shared" si="7"/>
        <v>9568010792.352604</v>
      </c>
      <c r="N19" s="103">
        <f t="shared" si="8"/>
        <v>1111484778.6724563</v>
      </c>
      <c r="O19" s="104">
        <f t="shared" si="9"/>
        <v>10679495571.02506</v>
      </c>
    </row>
    <row r="20" spans="1:15" ht="12.75">
      <c r="A20" s="95">
        <f t="shared" si="0"/>
        <v>40838</v>
      </c>
      <c r="B20" s="96">
        <f>IF(DIAS365('CALCULADORA TIPS Pesos E-14'!$E$6,A20)&lt;0,0,DIAS365('CALCULADORA TIPS Pesos E-14'!$E$6,A20))</f>
        <v>0</v>
      </c>
      <c r="C20" s="97">
        <f>+HLOOKUP('CALCULADORA TIPS Pesos E-14'!$E$4,Tablas!$B$1:$B$181,Flujos!J20+1,FALSE)</f>
        <v>0.02048302</v>
      </c>
      <c r="D20" s="98">
        <f t="shared" si="2"/>
        <v>46.628929</v>
      </c>
      <c r="E20" s="99">
        <f t="shared" si="3"/>
        <v>2.048302</v>
      </c>
      <c r="F20" s="99">
        <f>ROUND(D19*ROUND(((1+'CALCULADORA TIPS Pesos E-14'!$C$14)^(1/12)-1),6),6)</f>
        <v>0.251905</v>
      </c>
      <c r="G20" s="99">
        <f t="shared" si="4"/>
        <v>2.300207</v>
      </c>
      <c r="H20" s="100">
        <f>IF($B20=0,0,G20/POWER(1+'CALCULADORA TIPS Pesos E-14'!$F$11,Flujos!$B20/365))</f>
        <v>0</v>
      </c>
      <c r="I20" s="101">
        <f t="shared" si="1"/>
        <v>40838</v>
      </c>
      <c r="J20" s="65">
        <v>18</v>
      </c>
      <c r="K20" s="102">
        <f t="shared" si="5"/>
        <v>548</v>
      </c>
      <c r="L20" s="106">
        <f t="shared" si="6"/>
        <v>196576501338.50467</v>
      </c>
      <c r="M20" s="103">
        <f t="shared" si="7"/>
        <v>8635155245.462786</v>
      </c>
      <c r="N20" s="103">
        <f t="shared" si="8"/>
        <v>1061970322.8220316</v>
      </c>
      <c r="O20" s="104">
        <f t="shared" si="9"/>
        <v>9697125568.284817</v>
      </c>
    </row>
    <row r="21" spans="1:15" ht="12.75">
      <c r="A21" s="95">
        <f t="shared" si="0"/>
        <v>40869</v>
      </c>
      <c r="B21" s="96">
        <f>IF(DIAS365('CALCULADORA TIPS Pesos E-14'!$E$6,A21)&lt;0,0,DIAS365('CALCULADORA TIPS Pesos E-14'!$E$6,A21))</f>
        <v>0</v>
      </c>
      <c r="C21" s="97">
        <f>+HLOOKUP('CALCULADORA TIPS Pesos E-14'!$E$4,Tablas!$B$1:$B$181,Flujos!J21+1,FALSE)</f>
        <v>0.01264077</v>
      </c>
      <c r="D21" s="98">
        <f t="shared" si="2"/>
        <v>45.364852</v>
      </c>
      <c r="E21" s="99">
        <f t="shared" si="3"/>
        <v>1.264077</v>
      </c>
      <c r="F21" s="99">
        <f>ROUND(D20*ROUND(((1+'CALCULADORA TIPS Pesos E-14'!$C$14)^(1/12)-1),6),6)</f>
        <v>0.241305</v>
      </c>
      <c r="G21" s="99">
        <f t="shared" si="4"/>
        <v>1.505382</v>
      </c>
      <c r="H21" s="100">
        <f>IF($B21=0,0,G21/POWER(1+'CALCULADORA TIPS Pesos E-14'!$F$11,Flujos!$B21/365))</f>
        <v>0</v>
      </c>
      <c r="I21" s="101">
        <f t="shared" si="1"/>
        <v>40869</v>
      </c>
      <c r="J21" s="65">
        <v>19</v>
      </c>
      <c r="K21" s="102">
        <f t="shared" si="5"/>
        <v>579</v>
      </c>
      <c r="L21" s="106">
        <f t="shared" si="6"/>
        <v>191247452625.36624</v>
      </c>
      <c r="M21" s="103">
        <f t="shared" si="7"/>
        <v>5329048713.138424</v>
      </c>
      <c r="N21" s="103">
        <f t="shared" si="8"/>
        <v>1017283394.4267616</v>
      </c>
      <c r="O21" s="104">
        <f t="shared" si="9"/>
        <v>6346332107.565186</v>
      </c>
    </row>
    <row r="22" spans="1:15" ht="12.75">
      <c r="A22" s="95">
        <f t="shared" si="0"/>
        <v>40899</v>
      </c>
      <c r="B22" s="96">
        <f>IF(DIAS365('CALCULADORA TIPS Pesos E-14'!$E$6,A22)&lt;0,0,DIAS365('CALCULADORA TIPS Pesos E-14'!$E$6,A22))</f>
        <v>0</v>
      </c>
      <c r="C22" s="97">
        <f>+HLOOKUP('CALCULADORA TIPS Pesos E-14'!$E$4,Tablas!$B$1:$B$181,Flujos!J22+1,FALSE)</f>
        <v>0.01800998</v>
      </c>
      <c r="D22" s="98">
        <f t="shared" si="2"/>
        <v>43.563854</v>
      </c>
      <c r="E22" s="99">
        <f t="shared" si="3"/>
        <v>1.800998</v>
      </c>
      <c r="F22" s="99">
        <f>ROUND(D21*ROUND(((1+'CALCULADORA TIPS Pesos E-14'!$C$14)^(1/12)-1),6),6)</f>
        <v>0.234763</v>
      </c>
      <c r="G22" s="99">
        <f t="shared" si="4"/>
        <v>2.035761</v>
      </c>
      <c r="H22" s="100">
        <f>IF($B22=0,0,G22/POWER(1+'CALCULADORA TIPS Pesos E-14'!$F$11,Flujos!$B22/365))</f>
        <v>0</v>
      </c>
      <c r="I22" s="101">
        <f t="shared" si="1"/>
        <v>40899</v>
      </c>
      <c r="J22" s="65">
        <v>20</v>
      </c>
      <c r="K22" s="102">
        <f t="shared" si="5"/>
        <v>609</v>
      </c>
      <c r="L22" s="106">
        <f t="shared" si="6"/>
        <v>183654872367.78314</v>
      </c>
      <c r="M22" s="103">
        <f t="shared" si="7"/>
        <v>7592580257.583101</v>
      </c>
      <c r="N22" s="103">
        <f t="shared" si="8"/>
        <v>989705567.3362703</v>
      </c>
      <c r="O22" s="104">
        <f t="shared" si="9"/>
        <v>8582285824.919372</v>
      </c>
    </row>
    <row r="23" spans="1:15" ht="12.75">
      <c r="A23" s="95">
        <f t="shared" si="0"/>
        <v>40930</v>
      </c>
      <c r="B23" s="96">
        <f>IF(DIAS365('CALCULADORA TIPS Pesos E-14'!$E$6,A23)&lt;0,0,DIAS365('CALCULADORA TIPS Pesos E-14'!$E$6,A23))</f>
        <v>0</v>
      </c>
      <c r="C23" s="97">
        <f>+HLOOKUP('CALCULADORA TIPS Pesos E-14'!$E$4,Tablas!$B$1:$B$181,Flujos!J23+1,FALSE)</f>
        <v>0.01573262</v>
      </c>
      <c r="D23" s="98">
        <f t="shared" si="2"/>
        <v>41.990592</v>
      </c>
      <c r="E23" s="99">
        <f t="shared" si="3"/>
        <v>1.573262</v>
      </c>
      <c r="F23" s="99">
        <f>ROUND(D22*ROUND(((1+'CALCULADORA TIPS Pesos E-14'!$C$14)^(1/12)-1),6),6)</f>
        <v>0.225443</v>
      </c>
      <c r="G23" s="99">
        <f t="shared" si="4"/>
        <v>1.798705</v>
      </c>
      <c r="H23" s="100">
        <f>IF($B23=0,0,G23/POWER(1+'CALCULADORA TIPS Pesos E-14'!$F$11,Flujos!$B23/365))</f>
        <v>0</v>
      </c>
      <c r="I23" s="101">
        <f t="shared" si="1"/>
        <v>40930</v>
      </c>
      <c r="J23" s="65">
        <v>21</v>
      </c>
      <c r="K23" s="102">
        <f t="shared" si="5"/>
        <v>640</v>
      </c>
      <c r="L23" s="106">
        <f t="shared" si="6"/>
        <v>177022373052.84457</v>
      </c>
      <c r="M23" s="103">
        <f t="shared" si="7"/>
        <v>6632499314.938554</v>
      </c>
      <c r="N23" s="103">
        <f t="shared" si="8"/>
        <v>950413964.5032778</v>
      </c>
      <c r="O23" s="104">
        <f t="shared" si="9"/>
        <v>7582913279.441832</v>
      </c>
    </row>
    <row r="24" spans="1:15" ht="12.75">
      <c r="A24" s="95">
        <f t="shared" si="0"/>
        <v>40961</v>
      </c>
      <c r="B24" s="96">
        <f>IF(DIAS365('CALCULADORA TIPS Pesos E-14'!$E$6,A24)&lt;0,0,DIAS365('CALCULADORA TIPS Pesos E-14'!$E$6,A24))</f>
        <v>0</v>
      </c>
      <c r="C24" s="97">
        <f>+HLOOKUP('CALCULADORA TIPS Pesos E-14'!$E$4,Tablas!$B$1:$B$181,Flujos!J24+1,FALSE)</f>
        <v>0.01565051</v>
      </c>
      <c r="D24" s="98">
        <f t="shared" si="2"/>
        <v>40.425541</v>
      </c>
      <c r="E24" s="99">
        <f t="shared" si="3"/>
        <v>1.565051</v>
      </c>
      <c r="F24" s="99">
        <f>ROUND(D23*ROUND(((1+'CALCULADORA TIPS Pesos E-14'!$C$14)^(1/12)-1),6),6)</f>
        <v>0.217301</v>
      </c>
      <c r="G24" s="99">
        <f t="shared" si="4"/>
        <v>1.782352</v>
      </c>
      <c r="H24" s="100">
        <f>IF($B24=0,0,G24/POWER(1+'CALCULADORA TIPS Pesos E-14'!$F$11,Flujos!$B24/365))</f>
        <v>0</v>
      </c>
      <c r="I24" s="101">
        <f t="shared" si="1"/>
        <v>40961</v>
      </c>
      <c r="J24" s="65">
        <v>22</v>
      </c>
      <c r="K24" s="102">
        <f t="shared" si="5"/>
        <v>671</v>
      </c>
      <c r="L24" s="106">
        <f t="shared" si="6"/>
        <v>170424489365.7385</v>
      </c>
      <c r="M24" s="103">
        <f t="shared" si="7"/>
        <v>6597883687.106089</v>
      </c>
      <c r="N24" s="103">
        <f t="shared" si="8"/>
        <v>916090780.5484706</v>
      </c>
      <c r="O24" s="104">
        <f t="shared" si="9"/>
        <v>7513974467.654559</v>
      </c>
    </row>
    <row r="25" spans="1:15" ht="12.75">
      <c r="A25" s="95">
        <f t="shared" si="0"/>
        <v>40990</v>
      </c>
      <c r="B25" s="96">
        <f>IF(DIAS365('CALCULADORA TIPS Pesos E-14'!$E$6,A25)&lt;0,0,DIAS365('CALCULADORA TIPS Pesos E-14'!$E$6,A25))</f>
        <v>0</v>
      </c>
      <c r="C25" s="97">
        <f>+HLOOKUP('CALCULADORA TIPS Pesos E-14'!$E$4,Tablas!$B$1:$B$181,Flujos!J25+1,FALSE)</f>
        <v>0.01552321</v>
      </c>
      <c r="D25" s="98">
        <f t="shared" si="2"/>
        <v>38.87322</v>
      </c>
      <c r="E25" s="99">
        <f t="shared" si="3"/>
        <v>1.552321</v>
      </c>
      <c r="F25" s="99">
        <f>ROUND(D24*ROUND(((1+'CALCULADORA TIPS Pesos E-14'!$C$14)^(1/12)-1),6),6)</f>
        <v>0.209202</v>
      </c>
      <c r="G25" s="99">
        <f t="shared" si="4"/>
        <v>1.761523</v>
      </c>
      <c r="H25" s="100">
        <f>IF($B25=0,0,G25/POWER(1+'CALCULADORA TIPS Pesos E-14'!$F$11,Flujos!$B25/365))</f>
        <v>0</v>
      </c>
      <c r="I25" s="101">
        <f t="shared" si="1"/>
        <v>40990</v>
      </c>
      <c r="J25" s="65">
        <v>23</v>
      </c>
      <c r="K25" s="102">
        <f t="shared" si="5"/>
        <v>699</v>
      </c>
      <c r="L25" s="106">
        <f t="shared" si="6"/>
        <v>163880272338.2728</v>
      </c>
      <c r="M25" s="103">
        <f t="shared" si="7"/>
        <v>6544217027.465693</v>
      </c>
      <c r="N25" s="103">
        <f t="shared" si="8"/>
        <v>881946732.4676967</v>
      </c>
      <c r="O25" s="104">
        <f t="shared" si="9"/>
        <v>7426163759.93339</v>
      </c>
    </row>
    <row r="26" spans="1:15" ht="12.75">
      <c r="A26" s="95">
        <f t="shared" si="0"/>
        <v>41021</v>
      </c>
      <c r="B26" s="96">
        <f>IF(DIAS365('CALCULADORA TIPS Pesos E-14'!$E$6,A26)&lt;0,0,DIAS365('CALCULADORA TIPS Pesos E-14'!$E$6,A26))</f>
        <v>0</v>
      </c>
      <c r="C26" s="97">
        <f>+HLOOKUP('CALCULADORA TIPS Pesos E-14'!$E$4,Tablas!$B$1:$B$181,Flujos!J26+1,FALSE)</f>
        <v>0.0140191</v>
      </c>
      <c r="D26" s="98">
        <f t="shared" si="2"/>
        <v>37.47131</v>
      </c>
      <c r="E26" s="99">
        <f t="shared" si="3"/>
        <v>1.40191</v>
      </c>
      <c r="F26" s="99">
        <f>ROUND(D25*ROUND(((1+'CALCULADORA TIPS Pesos E-14'!$C$14)^(1/12)-1),6),6)</f>
        <v>0.201169</v>
      </c>
      <c r="G26" s="99">
        <f t="shared" si="4"/>
        <v>1.603079</v>
      </c>
      <c r="H26" s="100">
        <f>IF($B26=0,0,G26/POWER(1+'CALCULADORA TIPS Pesos E-14'!$F$11,Flujos!$B26/365))</f>
        <v>0</v>
      </c>
      <c r="I26" s="101">
        <f t="shared" si="1"/>
        <v>41021</v>
      </c>
      <c r="J26" s="65">
        <v>24</v>
      </c>
      <c r="K26" s="102">
        <f t="shared" si="5"/>
        <v>730</v>
      </c>
      <c r="L26" s="106">
        <f t="shared" si="6"/>
        <v>157970152399.82294</v>
      </c>
      <c r="M26" s="103">
        <f t="shared" si="7"/>
        <v>5910119938.449863</v>
      </c>
      <c r="N26" s="103">
        <f t="shared" si="8"/>
        <v>848080409.3505617</v>
      </c>
      <c r="O26" s="104">
        <f t="shared" si="9"/>
        <v>6758200347.800426</v>
      </c>
    </row>
    <row r="27" spans="1:15" ht="12.75">
      <c r="A27" s="95">
        <f t="shared" si="0"/>
        <v>41051</v>
      </c>
      <c r="B27" s="96">
        <f>IF(DIAS365('CALCULADORA TIPS Pesos E-14'!$E$6,A27)&lt;0,0,DIAS365('CALCULADORA TIPS Pesos E-14'!$E$6,A27))</f>
        <v>0</v>
      </c>
      <c r="C27" s="97">
        <f>+HLOOKUP('CALCULADORA TIPS Pesos E-14'!$E$4,Tablas!$B$1:$B$181,Flujos!J27+1,FALSE)</f>
        <v>0.01391022</v>
      </c>
      <c r="D27" s="98">
        <f t="shared" si="2"/>
        <v>36.080288</v>
      </c>
      <c r="E27" s="99">
        <f t="shared" si="3"/>
        <v>1.391022</v>
      </c>
      <c r="F27" s="99">
        <f>ROUND(D26*ROUND(((1+'CALCULADORA TIPS Pesos E-14'!$C$14)^(1/12)-1),6),6)</f>
        <v>0.193914</v>
      </c>
      <c r="G27" s="99">
        <f t="shared" si="4"/>
        <v>1.584936</v>
      </c>
      <c r="H27" s="100">
        <f>IF($B27=0,0,G27/POWER(1+'CALCULADORA TIPS Pesos E-14'!$F$11,Flujos!$B27/365))</f>
        <v>0</v>
      </c>
      <c r="I27" s="101">
        <f t="shared" si="1"/>
        <v>41051</v>
      </c>
      <c r="J27" s="65">
        <v>25</v>
      </c>
      <c r="K27" s="102">
        <f t="shared" si="5"/>
        <v>760</v>
      </c>
      <c r="L27" s="106">
        <f t="shared" si="6"/>
        <v>152105933686.05215</v>
      </c>
      <c r="M27" s="103">
        <f t="shared" si="7"/>
        <v>5864218713.770788</v>
      </c>
      <c r="N27" s="103">
        <f t="shared" si="8"/>
        <v>817495538.6690837</v>
      </c>
      <c r="O27" s="104">
        <f t="shared" si="9"/>
        <v>6681714252.439872</v>
      </c>
    </row>
    <row r="28" spans="1:15" ht="12.75">
      <c r="A28" s="95">
        <f t="shared" si="0"/>
        <v>41082</v>
      </c>
      <c r="B28" s="96">
        <f>IF(DIAS365('CALCULADORA TIPS Pesos E-14'!$E$6,A28)&lt;0,0,DIAS365('CALCULADORA TIPS Pesos E-14'!$E$6,A28))</f>
        <v>0</v>
      </c>
      <c r="C28" s="97">
        <f>+HLOOKUP('CALCULADORA TIPS Pesos E-14'!$E$4,Tablas!$B$1:$B$181,Flujos!J28+1,FALSE)</f>
        <v>0.01563832</v>
      </c>
      <c r="D28" s="98">
        <f t="shared" si="2"/>
        <v>34.516456</v>
      </c>
      <c r="E28" s="99">
        <f t="shared" si="3"/>
        <v>1.563832</v>
      </c>
      <c r="F28" s="99">
        <f>ROUND(D27*ROUND(((1+'CALCULADORA TIPS Pesos E-14'!$C$14)^(1/12)-1),6),6)</f>
        <v>0.186715</v>
      </c>
      <c r="G28" s="99">
        <f t="shared" si="4"/>
        <v>1.750547</v>
      </c>
      <c r="H28" s="100">
        <f>IF($B28=0,0,G28/POWER(1+'CALCULADORA TIPS Pesos E-14'!$F$11,Flujos!$B28/365))</f>
        <v>0</v>
      </c>
      <c r="I28" s="101">
        <f t="shared" si="1"/>
        <v>41082</v>
      </c>
      <c r="J28" s="65">
        <v>26</v>
      </c>
      <c r="K28" s="102">
        <f t="shared" si="5"/>
        <v>791</v>
      </c>
      <c r="L28" s="106">
        <f t="shared" si="6"/>
        <v>145513189013.72232</v>
      </c>
      <c r="M28" s="103">
        <f t="shared" si="7"/>
        <v>6592744672.329841</v>
      </c>
      <c r="N28" s="103">
        <f t="shared" si="8"/>
        <v>787148206.8253199</v>
      </c>
      <c r="O28" s="104">
        <f t="shared" si="9"/>
        <v>7379892879.155161</v>
      </c>
    </row>
    <row r="29" spans="1:15" ht="12.75">
      <c r="A29" s="95">
        <f t="shared" si="0"/>
        <v>41112</v>
      </c>
      <c r="B29" s="96">
        <f>IF(DIAS365('CALCULADORA TIPS Pesos E-14'!$E$6,A29)&lt;0,0,DIAS365('CALCULADORA TIPS Pesos E-14'!$E$6,A29))</f>
        <v>0</v>
      </c>
      <c r="C29" s="97">
        <f>+HLOOKUP('CALCULADORA TIPS Pesos E-14'!$E$4,Tablas!$B$1:$B$181,Flujos!J29+1,FALSE)</f>
        <v>0.01122805</v>
      </c>
      <c r="D29" s="98">
        <f t="shared" si="2"/>
        <v>33.393651</v>
      </c>
      <c r="E29" s="99">
        <f t="shared" si="3"/>
        <v>1.122805</v>
      </c>
      <c r="F29" s="99">
        <f>ROUND(D28*ROUND(((1+'CALCULADORA TIPS Pesos E-14'!$C$14)^(1/12)-1),6),6)</f>
        <v>0.178623</v>
      </c>
      <c r="G29" s="99">
        <f t="shared" si="4"/>
        <v>1.301428</v>
      </c>
      <c r="H29" s="100">
        <f>IF($B29=0,0,G29/POWER(1+'CALCULADORA TIPS Pesos E-14'!$F$11,Flujos!$B29/365))</f>
        <v>0</v>
      </c>
      <c r="I29" s="101">
        <f t="shared" si="1"/>
        <v>41112</v>
      </c>
      <c r="J29" s="65">
        <v>27</v>
      </c>
      <c r="K29" s="102">
        <f t="shared" si="5"/>
        <v>821</v>
      </c>
      <c r="L29" s="106">
        <f t="shared" si="6"/>
        <v>140779709533.94745</v>
      </c>
      <c r="M29" s="103">
        <f t="shared" si="7"/>
        <v>4733479479.774878</v>
      </c>
      <c r="N29" s="103">
        <f t="shared" si="8"/>
        <v>753030753.146013</v>
      </c>
      <c r="O29" s="104">
        <f t="shared" si="9"/>
        <v>5486510232.920891</v>
      </c>
    </row>
    <row r="30" spans="1:15" ht="12.75">
      <c r="A30" s="95">
        <f t="shared" si="0"/>
        <v>41143</v>
      </c>
      <c r="B30" s="96">
        <f>IF(DIAS365('CALCULADORA TIPS Pesos E-14'!$E$6,A30)&lt;0,0,DIAS365('CALCULADORA TIPS Pesos E-14'!$E$6,A30))</f>
        <v>0</v>
      </c>
      <c r="C30" s="97">
        <f>+HLOOKUP('CALCULADORA TIPS Pesos E-14'!$E$4,Tablas!$B$1:$B$181,Flujos!J30+1,FALSE)</f>
        <v>0.01522112</v>
      </c>
      <c r="D30" s="98">
        <f t="shared" si="2"/>
        <v>31.871539</v>
      </c>
      <c r="E30" s="99">
        <f t="shared" si="3"/>
        <v>1.522112</v>
      </c>
      <c r="F30" s="99">
        <f>ROUND(D29*ROUND(((1+'CALCULADORA TIPS Pesos E-14'!$C$14)^(1/12)-1),6),6)</f>
        <v>0.172812</v>
      </c>
      <c r="G30" s="99">
        <f t="shared" si="4"/>
        <v>1.6949239999999999</v>
      </c>
      <c r="H30" s="100">
        <f>IF($B30=0,0,G30/POWER(1+'CALCULADORA TIPS Pesos E-14'!$F$11,Flujos!$B30/365))</f>
        <v>0</v>
      </c>
      <c r="I30" s="101">
        <f t="shared" si="1"/>
        <v>41143</v>
      </c>
      <c r="J30" s="65">
        <v>28</v>
      </c>
      <c r="K30" s="102">
        <f t="shared" si="5"/>
        <v>852</v>
      </c>
      <c r="L30" s="106">
        <f t="shared" si="6"/>
        <v>134362846482.99995</v>
      </c>
      <c r="M30" s="103">
        <f t="shared" si="7"/>
        <v>6416863050.947492</v>
      </c>
      <c r="N30" s="103">
        <f t="shared" si="8"/>
        <v>728534996.838178</v>
      </c>
      <c r="O30" s="104">
        <f t="shared" si="9"/>
        <v>7145398047.785669</v>
      </c>
    </row>
    <row r="31" spans="1:15" ht="12.75">
      <c r="A31" s="95">
        <f t="shared" si="0"/>
        <v>41174</v>
      </c>
      <c r="B31" s="96">
        <f>IF(DIAS365('CALCULADORA TIPS Pesos E-14'!$E$6,A31)&lt;0,0,DIAS365('CALCULADORA TIPS Pesos E-14'!$E$6,A31))</f>
        <v>0</v>
      </c>
      <c r="C31" s="97">
        <f>+HLOOKUP('CALCULADORA TIPS Pesos E-14'!$E$4,Tablas!$B$1:$B$181,Flujos!J31+1,FALSE)</f>
        <v>0.01915152</v>
      </c>
      <c r="D31" s="98">
        <f t="shared" si="2"/>
        <v>29.956387</v>
      </c>
      <c r="E31" s="99">
        <f t="shared" si="3"/>
        <v>1.915152</v>
      </c>
      <c r="F31" s="99">
        <f>ROUND(D30*ROUND(((1+'CALCULADORA TIPS Pesos E-14'!$C$14)^(1/12)-1),6),6)</f>
        <v>0.164935</v>
      </c>
      <c r="G31" s="99">
        <f t="shared" si="4"/>
        <v>2.080087</v>
      </c>
      <c r="H31" s="100">
        <f>IF($B31=0,0,G31/POWER(1+'CALCULADORA TIPS Pesos E-14'!$F$11,Flujos!$B31/365))</f>
        <v>0</v>
      </c>
      <c r="I31" s="101">
        <f t="shared" si="1"/>
        <v>41174</v>
      </c>
      <c r="J31" s="65">
        <v>29</v>
      </c>
      <c r="K31" s="102">
        <f t="shared" si="5"/>
        <v>883</v>
      </c>
      <c r="L31" s="106">
        <f t="shared" si="6"/>
        <v>126289020045.95183</v>
      </c>
      <c r="M31" s="103">
        <f t="shared" si="7"/>
        <v>8073826437.048121</v>
      </c>
      <c r="N31" s="103">
        <f t="shared" si="8"/>
        <v>695327730.5495248</v>
      </c>
      <c r="O31" s="104">
        <f t="shared" si="9"/>
        <v>8769154167.597647</v>
      </c>
    </row>
    <row r="32" spans="1:15" ht="12.75">
      <c r="A32" s="95">
        <f t="shared" si="0"/>
        <v>41204</v>
      </c>
      <c r="B32" s="96">
        <f>IF(DIAS365('CALCULADORA TIPS Pesos E-14'!$E$6,A32)&lt;0,0,DIAS365('CALCULADORA TIPS Pesos E-14'!$E$6,A32))</f>
        <v>0</v>
      </c>
      <c r="C32" s="97">
        <f>+HLOOKUP('CALCULADORA TIPS Pesos E-14'!$E$4,Tablas!$B$1:$B$181,Flujos!J32+1,FALSE)</f>
        <v>0.01367019</v>
      </c>
      <c r="D32" s="98">
        <f t="shared" si="2"/>
        <v>28.589368</v>
      </c>
      <c r="E32" s="99">
        <f t="shared" si="3"/>
        <v>1.367019</v>
      </c>
      <c r="F32" s="99">
        <f>ROUND(D31*ROUND(((1+'CALCULADORA TIPS Pesos E-14'!$C$14)^(1/12)-1),6),6)</f>
        <v>0.155024</v>
      </c>
      <c r="G32" s="99">
        <f t="shared" si="4"/>
        <v>1.522043</v>
      </c>
      <c r="H32" s="100">
        <f>IF($B32=0,0,G32/POWER(1+'CALCULADORA TIPS Pesos E-14'!$F$11,Flujos!$B32/365))</f>
        <v>0</v>
      </c>
      <c r="I32" s="101">
        <f t="shared" si="1"/>
        <v>41204</v>
      </c>
      <c r="J32" s="65">
        <v>30</v>
      </c>
      <c r="K32" s="102">
        <f t="shared" si="5"/>
        <v>913</v>
      </c>
      <c r="L32" s="106">
        <f t="shared" si="6"/>
        <v>120525992285.1542</v>
      </c>
      <c r="M32" s="103">
        <f t="shared" si="7"/>
        <v>5763027760.797622</v>
      </c>
      <c r="N32" s="103">
        <f t="shared" si="8"/>
        <v>653545678.7378007</v>
      </c>
      <c r="O32" s="104">
        <f t="shared" si="9"/>
        <v>6416573439.535422</v>
      </c>
    </row>
    <row r="33" spans="1:15" ht="12.75">
      <c r="A33" s="95">
        <f t="shared" si="0"/>
        <v>41235</v>
      </c>
      <c r="B33" s="96">
        <f>IF(DIAS365('CALCULADORA TIPS Pesos E-14'!$E$6,A33)&lt;0,0,DIAS365('CALCULADORA TIPS Pesos E-14'!$E$6,A33))</f>
        <v>0</v>
      </c>
      <c r="C33" s="97">
        <f>+HLOOKUP('CALCULADORA TIPS Pesos E-14'!$E$4,Tablas!$B$1:$B$181,Flujos!J33+1,FALSE)</f>
        <v>0.01563531</v>
      </c>
      <c r="D33" s="98">
        <f t="shared" si="2"/>
        <v>27.025837</v>
      </c>
      <c r="E33" s="99">
        <f t="shared" si="3"/>
        <v>1.563531</v>
      </c>
      <c r="F33" s="99">
        <f>ROUND(D32*ROUND(((1+'CALCULADORA TIPS Pesos E-14'!$C$14)^(1/12)-1),6),6)</f>
        <v>0.14795</v>
      </c>
      <c r="G33" s="99">
        <f t="shared" si="4"/>
        <v>1.711481</v>
      </c>
      <c r="H33" s="100">
        <f>IF($B33=0,0,G33/POWER(1+'CALCULADORA TIPS Pesos E-14'!$F$11,Flujos!$B33/365))</f>
        <v>0</v>
      </c>
      <c r="I33" s="101">
        <f t="shared" si="1"/>
        <v>41235</v>
      </c>
      <c r="J33" s="65">
        <v>31</v>
      </c>
      <c r="K33" s="102">
        <f t="shared" si="5"/>
        <v>944</v>
      </c>
      <c r="L33" s="106">
        <f t="shared" si="6"/>
        <v>113934516557.40816</v>
      </c>
      <c r="M33" s="103">
        <f t="shared" si="7"/>
        <v>6591475727.746041</v>
      </c>
      <c r="N33" s="103">
        <f t="shared" si="8"/>
        <v>623722010.075673</v>
      </c>
      <c r="O33" s="104">
        <f t="shared" si="9"/>
        <v>7215197737.821714</v>
      </c>
    </row>
    <row r="34" spans="1:15" ht="12.75">
      <c r="A34" s="95">
        <f t="shared" si="0"/>
        <v>41265</v>
      </c>
      <c r="B34" s="96">
        <f>IF(DIAS365('CALCULADORA TIPS Pesos E-14'!$E$6,A34)&lt;0,0,DIAS365('CALCULADORA TIPS Pesos E-14'!$E$6,A34))</f>
        <v>0</v>
      </c>
      <c r="C34" s="97">
        <f>+HLOOKUP('CALCULADORA TIPS Pesos E-14'!$E$4,Tablas!$B$1:$B$181,Flujos!J34+1,FALSE)</f>
        <v>0.02511785</v>
      </c>
      <c r="D34" s="98">
        <f t="shared" si="2"/>
        <v>24.514052</v>
      </c>
      <c r="E34" s="99">
        <f t="shared" si="3"/>
        <v>2.511785</v>
      </c>
      <c r="F34" s="99">
        <f>ROUND(D33*ROUND(((1+'CALCULADORA TIPS Pesos E-14'!$C$14)^(1/12)-1),6),6)</f>
        <v>0.139859</v>
      </c>
      <c r="G34" s="99">
        <f t="shared" si="4"/>
        <v>2.651644</v>
      </c>
      <c r="H34" s="100">
        <f>IF($B34=0,0,G34/POWER(1+'CALCULADORA TIPS Pesos E-14'!$F$11,Flujos!$B34/365))</f>
        <v>0</v>
      </c>
      <c r="I34" s="101">
        <f t="shared" si="1"/>
        <v>41265</v>
      </c>
      <c r="J34" s="65">
        <v>32</v>
      </c>
      <c r="K34" s="102">
        <f t="shared" si="5"/>
        <v>974</v>
      </c>
      <c r="L34" s="106">
        <f t="shared" si="6"/>
        <v>103345426951.37119</v>
      </c>
      <c r="M34" s="103">
        <f t="shared" si="7"/>
        <v>10589089606.036972</v>
      </c>
      <c r="N34" s="103">
        <f t="shared" si="8"/>
        <v>589611123.1845872</v>
      </c>
      <c r="O34" s="104">
        <f t="shared" si="9"/>
        <v>11178700729.22156</v>
      </c>
    </row>
    <row r="35" spans="1:15" ht="12.75">
      <c r="A35" s="95">
        <f aca="true" t="shared" si="10" ref="A35:A66">_XLL.FECHA.MES(A34,1)</f>
        <v>41296</v>
      </c>
      <c r="B35" s="96">
        <f>IF(DIAS365('CALCULADORA TIPS Pesos E-14'!$E$6,A35)&lt;0,0,DIAS365('CALCULADORA TIPS Pesos E-14'!$E$6,A35))</f>
        <v>0</v>
      </c>
      <c r="C35" s="97">
        <f>+HLOOKUP('CALCULADORA TIPS Pesos E-14'!$E$4,Tablas!$B$1:$B$181,Flujos!J35+1,FALSE)</f>
        <v>0.01233616</v>
      </c>
      <c r="D35" s="98">
        <f t="shared" si="2"/>
        <v>23.280436</v>
      </c>
      <c r="E35" s="99">
        <f t="shared" si="3"/>
        <v>1.233616</v>
      </c>
      <c r="F35" s="99">
        <f>ROUND(D34*ROUND(((1+'CALCULADORA TIPS Pesos E-14'!$C$14)^(1/12)-1),6),6)</f>
        <v>0.12686</v>
      </c>
      <c r="G35" s="99">
        <f t="shared" si="4"/>
        <v>1.360476</v>
      </c>
      <c r="H35" s="100">
        <f>IF($B35=0,0,G35/POWER(1+'CALCULADORA TIPS Pesos E-14'!$F$11,Flujos!$B35/365))</f>
        <v>0</v>
      </c>
      <c r="I35" s="101">
        <f t="shared" si="1"/>
        <v>41296</v>
      </c>
      <c r="J35" s="65">
        <v>33</v>
      </c>
      <c r="K35" s="102">
        <f t="shared" si="5"/>
        <v>1005</v>
      </c>
      <c r="L35" s="106">
        <f t="shared" si="6"/>
        <v>98144794586.96065</v>
      </c>
      <c r="M35" s="103">
        <f t="shared" si="7"/>
        <v>5200632364.410531</v>
      </c>
      <c r="N35" s="103">
        <f t="shared" si="8"/>
        <v>534812584.4733459</v>
      </c>
      <c r="O35" s="104">
        <f t="shared" si="9"/>
        <v>5735444948.883877</v>
      </c>
    </row>
    <row r="36" spans="1:15" ht="12.75">
      <c r="A36" s="95">
        <f t="shared" si="10"/>
        <v>41327</v>
      </c>
      <c r="B36" s="96">
        <f>IF(DIAS365('CALCULADORA TIPS Pesos E-14'!$E$6,A36)&lt;0,0,DIAS365('CALCULADORA TIPS Pesos E-14'!$E$6,A36))</f>
        <v>0</v>
      </c>
      <c r="C36" s="97">
        <f>+HLOOKUP('CALCULADORA TIPS Pesos E-14'!$E$4,Tablas!$B$1:$B$181,Flujos!J36+1,FALSE)</f>
        <v>0.01196947</v>
      </c>
      <c r="D36" s="98">
        <f t="shared" si="2"/>
        <v>22.083489</v>
      </c>
      <c r="E36" s="99">
        <f t="shared" si="3"/>
        <v>1.196947</v>
      </c>
      <c r="F36" s="99">
        <f>ROUND(D35*ROUND(((1+'CALCULADORA TIPS Pesos E-14'!$C$14)^(1/12)-1),6),6)</f>
        <v>0.120476</v>
      </c>
      <c r="G36" s="99">
        <f t="shared" si="4"/>
        <v>1.317423</v>
      </c>
      <c r="H36" s="100">
        <f>IF($B36=0,0,G36/POWER(1+'CALCULADORA TIPS Pesos E-14'!$F$11,Flujos!$B36/365))</f>
        <v>0</v>
      </c>
      <c r="I36" s="101">
        <f t="shared" si="1"/>
        <v>41327</v>
      </c>
      <c r="J36" s="65">
        <v>34</v>
      </c>
      <c r="K36" s="102">
        <f t="shared" si="5"/>
        <v>1036</v>
      </c>
      <c r="L36" s="106">
        <f t="shared" si="6"/>
        <v>93098750026.34853</v>
      </c>
      <c r="M36" s="103">
        <f t="shared" si="7"/>
        <v>5046044560.612128</v>
      </c>
      <c r="N36" s="103">
        <f t="shared" si="8"/>
        <v>507899311.98752135</v>
      </c>
      <c r="O36" s="104">
        <f t="shared" si="9"/>
        <v>5553943872.599649</v>
      </c>
    </row>
    <row r="37" spans="1:15" ht="12.75">
      <c r="A37" s="95">
        <f t="shared" si="10"/>
        <v>41355</v>
      </c>
      <c r="B37" s="96">
        <f>IF(DIAS365('CALCULADORA TIPS Pesos E-14'!$E$6,A37)&lt;0,0,DIAS365('CALCULADORA TIPS Pesos E-14'!$E$6,A37))</f>
        <v>0</v>
      </c>
      <c r="C37" s="97">
        <f>+HLOOKUP('CALCULADORA TIPS Pesos E-14'!$E$4,Tablas!$B$1:$B$181,Flujos!J37+1,FALSE)</f>
        <v>0.01349256</v>
      </c>
      <c r="D37" s="98">
        <f t="shared" si="2"/>
        <v>20.734233</v>
      </c>
      <c r="E37" s="99">
        <f t="shared" si="3"/>
        <v>1.349256</v>
      </c>
      <c r="F37" s="99">
        <f>ROUND(D36*ROUND(((1+'CALCULADORA TIPS Pesos E-14'!$C$14)^(1/12)-1),6),6)</f>
        <v>0.114282</v>
      </c>
      <c r="G37" s="99">
        <f t="shared" si="4"/>
        <v>1.463538</v>
      </c>
      <c r="H37" s="100">
        <f>IF($B37=0,0,G37/POWER(1+'CALCULADORA TIPS Pesos E-14'!$F$11,Flujos!$B37/365))</f>
        <v>0</v>
      </c>
      <c r="I37" s="101">
        <f t="shared" si="1"/>
        <v>41355</v>
      </c>
      <c r="J37" s="65">
        <v>35</v>
      </c>
      <c r="K37" s="102">
        <f t="shared" si="5"/>
        <v>1064</v>
      </c>
      <c r="L37" s="106">
        <f t="shared" si="6"/>
        <v>87410606859.04599</v>
      </c>
      <c r="M37" s="103">
        <f t="shared" si="7"/>
        <v>5688143167.302544</v>
      </c>
      <c r="N37" s="103">
        <f t="shared" si="8"/>
        <v>481786031.3863536</v>
      </c>
      <c r="O37" s="104">
        <f t="shared" si="9"/>
        <v>6169929198.688897</v>
      </c>
    </row>
    <row r="38" spans="1:15" ht="12.75">
      <c r="A38" s="95">
        <f t="shared" si="10"/>
        <v>41386</v>
      </c>
      <c r="B38" s="96">
        <f>IF(DIAS365('CALCULADORA TIPS Pesos E-14'!$E$6,A38)&lt;0,0,DIAS365('CALCULADORA TIPS Pesos E-14'!$E$6,A38))</f>
        <v>0</v>
      </c>
      <c r="C38" s="97">
        <f>+HLOOKUP('CALCULADORA TIPS Pesos E-14'!$E$4,Tablas!$B$1:$B$181,Flujos!J38+1,FALSE)</f>
        <v>0.01397478</v>
      </c>
      <c r="D38" s="98">
        <f t="shared" si="2"/>
        <v>19.336755</v>
      </c>
      <c r="E38" s="99">
        <f t="shared" si="3"/>
        <v>1.397478</v>
      </c>
      <c r="F38" s="99">
        <f>ROUND(D37*ROUND(((1+'CALCULADORA TIPS Pesos E-14'!$C$14)^(1/12)-1),6),6)</f>
        <v>0.1073</v>
      </c>
      <c r="G38" s="99">
        <f t="shared" si="4"/>
        <v>1.504778</v>
      </c>
      <c r="H38" s="100">
        <f>IF($B38=0,0,G38/POWER(1+'CALCULADORA TIPS Pesos E-14'!$F$11,Flujos!$B38/365))</f>
        <v>0</v>
      </c>
      <c r="I38" s="101">
        <f t="shared" si="1"/>
        <v>41386</v>
      </c>
      <c r="J38" s="65">
        <v>36</v>
      </c>
      <c r="K38" s="102">
        <f t="shared" si="5"/>
        <v>1095</v>
      </c>
      <c r="L38" s="106">
        <f t="shared" si="6"/>
        <v>81519171181.04594</v>
      </c>
      <c r="M38" s="103">
        <f t="shared" si="7"/>
        <v>5891435678.000041</v>
      </c>
      <c r="N38" s="103">
        <f t="shared" si="8"/>
        <v>452349890.495563</v>
      </c>
      <c r="O38" s="104">
        <f t="shared" si="9"/>
        <v>6343785568.495604</v>
      </c>
    </row>
    <row r="39" spans="1:15" ht="12.75">
      <c r="A39" s="95">
        <f t="shared" si="10"/>
        <v>41416</v>
      </c>
      <c r="B39" s="96">
        <f>IF(DIAS365('CALCULADORA TIPS Pesos E-14'!$E$6,A39)&lt;0,0,DIAS365('CALCULADORA TIPS Pesos E-14'!$E$6,A39))</f>
        <v>0</v>
      </c>
      <c r="C39" s="97">
        <f>+HLOOKUP('CALCULADORA TIPS Pesos E-14'!$E$4,Tablas!$B$1:$B$181,Flujos!J39+1,FALSE)</f>
        <v>0.01431708</v>
      </c>
      <c r="D39" s="98">
        <f t="shared" si="2"/>
        <v>17.905047</v>
      </c>
      <c r="E39" s="99">
        <f t="shared" si="3"/>
        <v>1.431708</v>
      </c>
      <c r="F39" s="99">
        <f>ROUND(D38*ROUND(((1+'CALCULADORA TIPS Pesos E-14'!$C$14)^(1/12)-1),6),6)</f>
        <v>0.100068</v>
      </c>
      <c r="G39" s="99">
        <f t="shared" si="4"/>
        <v>1.531776</v>
      </c>
      <c r="H39" s="100">
        <f>IF($B39=0,0,G39/POWER(1+'CALCULADORA TIPS Pesos E-14'!$F$11,Flujos!$B39/365))</f>
        <v>0</v>
      </c>
      <c r="I39" s="101">
        <f t="shared" si="1"/>
        <v>41416</v>
      </c>
      <c r="J39" s="65">
        <v>37</v>
      </c>
      <c r="K39" s="102">
        <f t="shared" si="5"/>
        <v>1125</v>
      </c>
      <c r="L39" s="106">
        <f t="shared" si="6"/>
        <v>75483429944.56273</v>
      </c>
      <c r="M39" s="103">
        <f t="shared" si="7"/>
        <v>6035741236.48321</v>
      </c>
      <c r="N39" s="103">
        <f t="shared" si="8"/>
        <v>421861710.8619127</v>
      </c>
      <c r="O39" s="104">
        <f t="shared" si="9"/>
        <v>6457602947.345122</v>
      </c>
    </row>
    <row r="40" spans="1:15" ht="12.75">
      <c r="A40" s="95">
        <f t="shared" si="10"/>
        <v>41447</v>
      </c>
      <c r="B40" s="96">
        <f>IF(DIAS365('CALCULADORA TIPS Pesos E-14'!$E$6,A40)&lt;0,0,DIAS365('CALCULADORA TIPS Pesos E-14'!$E$6,A40))</f>
        <v>0</v>
      </c>
      <c r="C40" s="97">
        <f>+HLOOKUP('CALCULADORA TIPS Pesos E-14'!$E$4,Tablas!$B$1:$B$181,Flujos!J40+1,FALSE)</f>
        <v>0.02150747</v>
      </c>
      <c r="D40" s="98">
        <f t="shared" si="2"/>
        <v>15.7543</v>
      </c>
      <c r="E40" s="99">
        <f t="shared" si="3"/>
        <v>2.150747</v>
      </c>
      <c r="F40" s="99">
        <f>ROUND(D39*ROUND(((1+'CALCULADORA TIPS Pesos E-14'!$C$14)^(1/12)-1),6),6)</f>
        <v>0.092659</v>
      </c>
      <c r="G40" s="99">
        <f t="shared" si="4"/>
        <v>2.243406</v>
      </c>
      <c r="H40" s="100">
        <f>IF($B40=0,0,G40/POWER(1+'CALCULADORA TIPS Pesos E-14'!$F$11,Flujos!$B40/365))</f>
        <v>0</v>
      </c>
      <c r="I40" s="101">
        <f t="shared" si="1"/>
        <v>41447</v>
      </c>
      <c r="J40" s="65">
        <v>38</v>
      </c>
      <c r="K40" s="102">
        <f t="shared" si="5"/>
        <v>1156</v>
      </c>
      <c r="L40" s="106">
        <f t="shared" si="6"/>
        <v>66416390885.52097</v>
      </c>
      <c r="M40" s="103">
        <f t="shared" si="7"/>
        <v>9067039059.041756</v>
      </c>
      <c r="N40" s="103">
        <f t="shared" si="8"/>
        <v>390626749.9631121</v>
      </c>
      <c r="O40" s="104">
        <f t="shared" si="9"/>
        <v>9457665809.004868</v>
      </c>
    </row>
    <row r="41" spans="1:15" s="151" customFormat="1" ht="12.75">
      <c r="A41" s="139">
        <f t="shared" si="10"/>
        <v>41477</v>
      </c>
      <c r="B41" s="140">
        <f>IF(DIAS365('CALCULADORA TIPS Pesos E-14'!$E$6,A41)&lt;0,0,DIAS365('CALCULADORA TIPS Pesos E-14'!$E$6,A41))</f>
        <v>0</v>
      </c>
      <c r="C41" s="141">
        <f>+HLOOKUP('CALCULADORA TIPS Pesos E-14'!$E$4,Tablas!$B$1:$B$181,Flujos!J41+1,FALSE)</f>
        <v>0.01906017</v>
      </c>
      <c r="D41" s="142">
        <f t="shared" si="2"/>
        <v>13.848283</v>
      </c>
      <c r="E41" s="143">
        <f t="shared" si="3"/>
        <v>1.906017</v>
      </c>
      <c r="F41" s="143">
        <f>ROUND(D40*ROUND(((1+'CALCULADORA TIPS Pesos E-14'!$C$14)^(1/12)-1),6),6)</f>
        <v>0.081529</v>
      </c>
      <c r="G41" s="143">
        <f t="shared" si="4"/>
        <v>1.987546</v>
      </c>
      <c r="H41" s="144">
        <f>IF($B41=0,0,G41/POWER(1+'CALCULADORA TIPS Pesos E-14'!$F$11,Flujos!$B41/365))</f>
        <v>0</v>
      </c>
      <c r="I41" s="145">
        <f t="shared" si="1"/>
        <v>41477</v>
      </c>
      <c r="J41" s="146">
        <v>39</v>
      </c>
      <c r="K41" s="147">
        <f t="shared" si="5"/>
        <v>1186</v>
      </c>
      <c r="L41" s="148">
        <f t="shared" si="6"/>
        <v>58381075441.07419</v>
      </c>
      <c r="M41" s="149">
        <f t="shared" si="7"/>
        <v>8035315444.446786</v>
      </c>
      <c r="N41" s="149">
        <f t="shared" si="8"/>
        <v>343704822.832571</v>
      </c>
      <c r="O41" s="150">
        <f t="shared" si="9"/>
        <v>8379020267.279357</v>
      </c>
    </row>
    <row r="42" spans="1:15" ht="12.75">
      <c r="A42" s="95">
        <f t="shared" si="10"/>
        <v>41508</v>
      </c>
      <c r="B42" s="96">
        <f>IF(DIAS365('CALCULADORA TIPS Pesos E-14'!$E$6,A42)&lt;0,0,DIAS365('CALCULADORA TIPS Pesos E-14'!$E$6,A42))</f>
        <v>0</v>
      </c>
      <c r="C42" s="97">
        <f>+HLOOKUP('CALCULADORA TIPS Pesos E-14'!$E$4,Tablas!$B$1:$B$181,Flujos!J42+1,FALSE)</f>
        <v>0.01739952</v>
      </c>
      <c r="D42" s="98">
        <f t="shared" si="2"/>
        <v>12.108331</v>
      </c>
      <c r="E42" s="99">
        <f t="shared" si="3"/>
        <v>1.739952</v>
      </c>
      <c r="F42" s="99">
        <f>ROUND(D41*ROUND(((1+'CALCULADORA TIPS Pesos E-14'!$C$14)^(1/12)-1),6),6)</f>
        <v>0.071665</v>
      </c>
      <c r="G42" s="99">
        <f t="shared" si="4"/>
        <v>1.811617</v>
      </c>
      <c r="H42" s="100">
        <f>IF($B42=0,0,G42/POWER(1+'CALCULADORA TIPS Pesos E-14'!$F$11,Flujos!$B42/365))</f>
        <v>0</v>
      </c>
      <c r="I42" s="101">
        <f t="shared" si="1"/>
        <v>41508</v>
      </c>
      <c r="J42" s="65">
        <v>40</v>
      </c>
      <c r="K42" s="102">
        <f t="shared" si="5"/>
        <v>1217</v>
      </c>
      <c r="L42" s="106">
        <f t="shared" si="6"/>
        <v>51045850635.526245</v>
      </c>
      <c r="M42" s="103">
        <f t="shared" si="7"/>
        <v>7335224805.547944</v>
      </c>
      <c r="N42" s="103">
        <f t="shared" si="8"/>
        <v>302122065.4075589</v>
      </c>
      <c r="O42" s="104">
        <f t="shared" si="9"/>
        <v>7637346870.955503</v>
      </c>
    </row>
    <row r="43" spans="1:15" ht="12.75">
      <c r="A43" s="95">
        <f t="shared" si="10"/>
        <v>41539</v>
      </c>
      <c r="B43" s="96">
        <f>IF(DIAS365('CALCULADORA TIPS Pesos E-14'!$E$6,A43)&lt;0,0,DIAS365('CALCULADORA TIPS Pesos E-14'!$E$6,A43))</f>
        <v>0</v>
      </c>
      <c r="C43" s="97">
        <f>+HLOOKUP('CALCULADORA TIPS Pesos E-14'!$E$4,Tablas!$B$1:$B$181,Flujos!J43+1,FALSE)</f>
        <v>0.01349764</v>
      </c>
      <c r="D43" s="98">
        <f t="shared" si="2"/>
        <v>10.758567</v>
      </c>
      <c r="E43" s="99">
        <f t="shared" si="3"/>
        <v>1.349764</v>
      </c>
      <c r="F43" s="99">
        <f>ROUND(D42*ROUND(((1+'CALCULADORA TIPS Pesos E-14'!$C$14)^(1/12)-1),6),6)</f>
        <v>0.062661</v>
      </c>
      <c r="G43" s="99">
        <f t="shared" si="4"/>
        <v>1.412425</v>
      </c>
      <c r="H43" s="100">
        <f>IF($B43=0,0,G43/POWER(1+'CALCULADORA TIPS Pesos E-14'!$F$11,Flujos!$B43/365))</f>
        <v>0</v>
      </c>
      <c r="I43" s="101">
        <f t="shared" si="1"/>
        <v>41539</v>
      </c>
      <c r="J43" s="65">
        <v>41</v>
      </c>
      <c r="K43" s="102">
        <f t="shared" si="5"/>
        <v>1248</v>
      </c>
      <c r="L43" s="106">
        <f t="shared" si="6"/>
        <v>45355565860.75337</v>
      </c>
      <c r="M43" s="103">
        <f t="shared" si="7"/>
        <v>5690284774.772875</v>
      </c>
      <c r="N43" s="103">
        <f t="shared" si="8"/>
        <v>264162277.0388483</v>
      </c>
      <c r="O43" s="104">
        <f t="shared" si="9"/>
        <v>5954447051.811723</v>
      </c>
    </row>
    <row r="44" spans="1:15" ht="12.75">
      <c r="A44" s="95">
        <f t="shared" si="10"/>
        <v>41569</v>
      </c>
      <c r="B44" s="96">
        <f>IF(DIAS365('CALCULADORA TIPS Pesos E-14'!$E$6,A44)&lt;0,0,DIAS365('CALCULADORA TIPS Pesos E-14'!$E$6,A44))</f>
        <v>0</v>
      </c>
      <c r="C44" s="97">
        <f>+HLOOKUP('CALCULADORA TIPS Pesos E-14'!$E$4,Tablas!$B$1:$B$181,Flujos!J44+1,FALSE)</f>
        <v>0.01251497</v>
      </c>
      <c r="D44" s="98">
        <f t="shared" si="2"/>
        <v>9.50707</v>
      </c>
      <c r="E44" s="99">
        <f t="shared" si="3"/>
        <v>1.251497</v>
      </c>
      <c r="F44" s="99">
        <f>ROUND(D43*ROUND(((1+'CALCULADORA TIPS Pesos E-14'!$C$14)^(1/12)-1),6),6)</f>
        <v>0.055676</v>
      </c>
      <c r="G44" s="99">
        <f t="shared" si="4"/>
        <v>1.3071730000000001</v>
      </c>
      <c r="H44" s="100">
        <f>IF($B44=0,0,G44/POWER(1+'CALCULADORA TIPS Pesos E-14'!$F$11,Flujos!$B44/365))</f>
        <v>0</v>
      </c>
      <c r="I44" s="101">
        <f t="shared" si="1"/>
        <v>41569</v>
      </c>
      <c r="J44" s="65">
        <v>42</v>
      </c>
      <c r="K44" s="102">
        <f t="shared" si="5"/>
        <v>1278</v>
      </c>
      <c r="L44" s="106">
        <f t="shared" si="6"/>
        <v>40079551442.84481</v>
      </c>
      <c r="M44" s="103">
        <f t="shared" si="7"/>
        <v>5276014417.90856</v>
      </c>
      <c r="N44" s="103">
        <f t="shared" si="8"/>
        <v>234715053.3293987</v>
      </c>
      <c r="O44" s="104">
        <f t="shared" si="9"/>
        <v>5510729471.237959</v>
      </c>
    </row>
    <row r="45" spans="1:15" s="151" customFormat="1" ht="12.75">
      <c r="A45" s="139">
        <f t="shared" si="10"/>
        <v>41600</v>
      </c>
      <c r="B45" s="140">
        <f>IF(DIAS365('CALCULADORA TIPS Pesos E-14'!$E$6,A45)&lt;0,0,DIAS365('CALCULADORA TIPS Pesos E-14'!$E$6,A45))</f>
        <v>0</v>
      </c>
      <c r="C45" s="141">
        <f>+HLOOKUP('CALCULADORA TIPS Pesos E-14'!$E$4,Tablas!$B$1:$B$181,Flujos!J45+1,FALSE)</f>
        <v>0.01031109</v>
      </c>
      <c r="D45" s="142">
        <f t="shared" si="2"/>
        <v>8.475961</v>
      </c>
      <c r="E45" s="143">
        <f t="shared" si="3"/>
        <v>1.031109</v>
      </c>
      <c r="F45" s="143">
        <f>ROUND(D44*ROUND(((1+'CALCULADORA TIPS Pesos E-14'!$C$14)^(1/12)-1),6),6)</f>
        <v>0.049199</v>
      </c>
      <c r="G45" s="143">
        <f t="shared" si="4"/>
        <v>1.080308</v>
      </c>
      <c r="H45" s="144">
        <f>IF($B45=0,0,G45/POWER(1+'CALCULADORA TIPS Pesos E-14'!$F$11,Flujos!$B45/365))</f>
        <v>0</v>
      </c>
      <c r="I45" s="145">
        <f t="shared" si="1"/>
        <v>41600</v>
      </c>
      <c r="J45" s="146">
        <v>43</v>
      </c>
      <c r="K45" s="147">
        <f t="shared" si="5"/>
        <v>1309</v>
      </c>
      <c r="L45" s="148">
        <f t="shared" si="6"/>
        <v>35732640542.99026</v>
      </c>
      <c r="M45" s="149">
        <f t="shared" si="7"/>
        <v>4346910899.854556</v>
      </c>
      <c r="N45" s="149">
        <f t="shared" si="8"/>
        <v>207411678.7167219</v>
      </c>
      <c r="O45" s="150">
        <f t="shared" si="9"/>
        <v>4554322578.571278</v>
      </c>
    </row>
    <row r="46" spans="1:15" s="151" customFormat="1" ht="12.75">
      <c r="A46" s="139">
        <f t="shared" si="10"/>
        <v>41630</v>
      </c>
      <c r="B46" s="140">
        <f>IF(DIAS365('CALCULADORA TIPS Pesos E-14'!$E$6,A46)&lt;0,0,DIAS365('CALCULADORA TIPS Pesos E-14'!$E$6,A46))</f>
        <v>0</v>
      </c>
      <c r="C46" s="141">
        <f>+HLOOKUP('CALCULADORA TIPS Pesos E-14'!$E$4,Tablas!$B$1:$B$181,Flujos!J46+1,FALSE)</f>
        <v>0.00981517</v>
      </c>
      <c r="D46" s="142">
        <f t="shared" si="2"/>
        <v>7.494444</v>
      </c>
      <c r="E46" s="143">
        <f t="shared" si="3"/>
        <v>0.981517</v>
      </c>
      <c r="F46" s="143">
        <f>ROUND(D45*ROUND(((1+'CALCULADORA TIPS Pesos E-14'!$C$14)^(1/12)-1),6),6)</f>
        <v>0.043863</v>
      </c>
      <c r="G46" s="143">
        <f t="shared" si="4"/>
        <v>1.02538</v>
      </c>
      <c r="H46" s="144">
        <f>IF($B46=0,0,G46/POWER(1+'CALCULADORA TIPS Pesos E-14'!$F$11,Flujos!$B46/365))</f>
        <v>0</v>
      </c>
      <c r="I46" s="145">
        <f t="shared" si="1"/>
        <v>41630</v>
      </c>
      <c r="J46" s="146">
        <v>44</v>
      </c>
      <c r="K46" s="147">
        <f t="shared" si="5"/>
        <v>1339</v>
      </c>
      <c r="L46" s="148">
        <f t="shared" si="6"/>
        <v>31594797748.782715</v>
      </c>
      <c r="M46" s="149">
        <f t="shared" si="7"/>
        <v>4137842794.2075415</v>
      </c>
      <c r="N46" s="149">
        <f t="shared" si="8"/>
        <v>184916414.80997458</v>
      </c>
      <c r="O46" s="150">
        <f t="shared" si="9"/>
        <v>4322759209.017516</v>
      </c>
    </row>
    <row r="47" spans="1:15" s="151" customFormat="1" ht="12.75">
      <c r="A47" s="139">
        <f t="shared" si="10"/>
        <v>41661</v>
      </c>
      <c r="B47" s="140">
        <f>IF(DIAS365('CALCULADORA TIPS Pesos E-14'!$E$6,A47)&lt;0,0,DIAS365('CALCULADORA TIPS Pesos E-14'!$E$6,A47))</f>
        <v>0</v>
      </c>
      <c r="C47" s="141">
        <f>+HLOOKUP('CALCULADORA TIPS Pesos E-14'!$E$4,Tablas!$B$1:$B$181,Flujos!J47+1,FALSE)</f>
        <v>0.00749479</v>
      </c>
      <c r="D47" s="142">
        <f t="shared" si="2"/>
        <v>6.744965</v>
      </c>
      <c r="E47" s="143">
        <f t="shared" si="3"/>
        <v>0.749479</v>
      </c>
      <c r="F47" s="143">
        <f>ROUND(D46*ROUND(((1+'CALCULADORA TIPS Pesos E-14'!$C$14)^(1/12)-1),6),6)</f>
        <v>0.038784</v>
      </c>
      <c r="G47" s="143">
        <f t="shared" si="4"/>
        <v>0.788263</v>
      </c>
      <c r="H47" s="144">
        <f>IF($B47=0,0,G47/POWER(1+'CALCULADORA TIPS Pesos E-14'!$F$11,Flujos!$B47/365))</f>
        <v>0</v>
      </c>
      <c r="I47" s="145">
        <f t="shared" si="1"/>
        <v>41661</v>
      </c>
      <c r="J47" s="146">
        <v>45</v>
      </c>
      <c r="K47" s="147">
        <f t="shared" si="5"/>
        <v>1370</v>
      </c>
      <c r="L47" s="148">
        <f t="shared" si="6"/>
        <v>28435172108.51375</v>
      </c>
      <c r="M47" s="149">
        <f t="shared" si="7"/>
        <v>3159625640.2689652</v>
      </c>
      <c r="N47" s="149">
        <f t="shared" si="8"/>
        <v>163503078.34995055</v>
      </c>
      <c r="O47" s="150">
        <f t="shared" si="9"/>
        <v>3323128718.6189156</v>
      </c>
    </row>
    <row r="48" spans="1:15" s="151" customFormat="1" ht="12.75">
      <c r="A48" s="139">
        <f t="shared" si="10"/>
        <v>41692</v>
      </c>
      <c r="B48" s="140">
        <f>IF(DIAS365('CALCULADORA TIPS Pesos E-14'!$E$6,A48)&lt;0,0,DIAS365('CALCULADORA TIPS Pesos E-14'!$E$6,A48))</f>
        <v>0</v>
      </c>
      <c r="C48" s="141">
        <f>+HLOOKUP('CALCULADORA TIPS Pesos E-14'!$E$4,Tablas!$B$1:$B$181,Flujos!J48+1,FALSE)</f>
        <v>0.01086581</v>
      </c>
      <c r="D48" s="142">
        <f t="shared" si="2"/>
        <v>5.658384</v>
      </c>
      <c r="E48" s="143">
        <f t="shared" si="3"/>
        <v>1.086581</v>
      </c>
      <c r="F48" s="143">
        <f>ROUND(D47*ROUND(((1+'CALCULADORA TIPS Pesos E-14'!$C$14)^(1/12)-1),6),6)</f>
        <v>0.034905</v>
      </c>
      <c r="G48" s="143">
        <f t="shared" si="4"/>
        <v>1.121486</v>
      </c>
      <c r="H48" s="144">
        <f>IF($B48=0,0,G48/POWER(1+'CALCULADORA TIPS Pesos E-14'!$F$11,Flujos!$B48/365))</f>
        <v>0</v>
      </c>
      <c r="I48" s="145">
        <f t="shared" si="1"/>
        <v>41692</v>
      </c>
      <c r="J48" s="146">
        <v>46</v>
      </c>
      <c r="K48" s="147">
        <f t="shared" si="5"/>
        <v>1401</v>
      </c>
      <c r="L48" s="148">
        <f t="shared" si="6"/>
        <v>23854404418.11936</v>
      </c>
      <c r="M48" s="149">
        <f t="shared" si="7"/>
        <v>4580767690.394384</v>
      </c>
      <c r="N48" s="149">
        <f t="shared" si="8"/>
        <v>147152015.66155866</v>
      </c>
      <c r="O48" s="150">
        <f t="shared" si="9"/>
        <v>4727919706.0559435</v>
      </c>
    </row>
    <row r="49" spans="1:15" s="151" customFormat="1" ht="12.75">
      <c r="A49" s="139">
        <f t="shared" si="10"/>
        <v>41720</v>
      </c>
      <c r="B49" s="140">
        <f>IF(DIAS365('CALCULADORA TIPS Pesos E-14'!$E$6,A49)&lt;0,0,DIAS365('CALCULADORA TIPS Pesos E-14'!$E$6,A49))</f>
        <v>0</v>
      </c>
      <c r="C49" s="141">
        <f>+HLOOKUP('CALCULADORA TIPS Pesos E-14'!$E$4,Tablas!$B$1:$B$181,Flujos!J49+1,FALSE)</f>
        <v>0.00865934</v>
      </c>
      <c r="D49" s="142">
        <f t="shared" si="2"/>
        <v>4.79245</v>
      </c>
      <c r="E49" s="143">
        <f t="shared" si="3"/>
        <v>0.865934</v>
      </c>
      <c r="F49" s="143">
        <f>ROUND(D48*ROUND(((1+'CALCULADORA TIPS Pesos E-14'!$C$14)^(1/12)-1),6),6)</f>
        <v>0.029282</v>
      </c>
      <c r="G49" s="143">
        <f t="shared" si="4"/>
        <v>0.895216</v>
      </c>
      <c r="H49" s="144">
        <f>IF($B49=0,0,G49/POWER(1+'CALCULADORA TIPS Pesos E-14'!$F$11,Flujos!$B49/365))</f>
        <v>0</v>
      </c>
      <c r="I49" s="145">
        <f t="shared" si="1"/>
        <v>41720</v>
      </c>
      <c r="J49" s="146">
        <v>47</v>
      </c>
      <c r="K49" s="147">
        <f t="shared" si="5"/>
        <v>1429</v>
      </c>
      <c r="L49" s="148">
        <f t="shared" si="6"/>
        <v>20203832128.32783</v>
      </c>
      <c r="M49" s="149">
        <f t="shared" si="7"/>
        <v>3650572289.79153</v>
      </c>
      <c r="N49" s="149">
        <f t="shared" si="8"/>
        <v>123446542.8637677</v>
      </c>
      <c r="O49" s="150">
        <f t="shared" si="9"/>
        <v>3774018832.6552978</v>
      </c>
    </row>
    <row r="50" spans="1:15" ht="12.75">
      <c r="A50" s="95">
        <f t="shared" si="10"/>
        <v>41751</v>
      </c>
      <c r="B50" s="96">
        <f>IF(DIAS365('CALCULADORA TIPS Pesos E-14'!$E$6,A50)&lt;0,0,DIAS365('CALCULADORA TIPS Pesos E-14'!$E$6,A50))</f>
        <v>0</v>
      </c>
      <c r="C50" s="97">
        <f>+HLOOKUP('CALCULADORA TIPS Pesos E-14'!$E$4,Tablas!$B$1:$B$181,Flujos!J50+1,FALSE)</f>
        <v>0.00589034</v>
      </c>
      <c r="D50" s="98">
        <f t="shared" si="2"/>
        <v>4.203416</v>
      </c>
      <c r="E50" s="99">
        <f t="shared" si="3"/>
        <v>0.589034</v>
      </c>
      <c r="F50" s="99">
        <f>ROUND(D49*ROUND(((1+'CALCULADORA TIPS Pesos E-14'!$C$14)^(1/12)-1),6),6)</f>
        <v>0.024801</v>
      </c>
      <c r="G50" s="99">
        <f t="shared" si="4"/>
        <v>0.6138349999999999</v>
      </c>
      <c r="H50" s="100">
        <f>IF($B50=0,0,G50/POWER(1+'CALCULADORA TIPS Pesos E-14'!$F$11,Flujos!$B50/365))</f>
        <v>0</v>
      </c>
      <c r="I50" s="101">
        <f t="shared" si="1"/>
        <v>41751</v>
      </c>
      <c r="J50" s="65">
        <v>48</v>
      </c>
      <c r="K50" s="102">
        <f t="shared" si="5"/>
        <v>1460</v>
      </c>
      <c r="L50" s="106">
        <f t="shared" si="6"/>
        <v>17720604540.37648</v>
      </c>
      <c r="M50" s="103">
        <f t="shared" si="7"/>
        <v>2483227587.9513497</v>
      </c>
      <c r="N50" s="103">
        <f t="shared" si="8"/>
        <v>104554831.26409653</v>
      </c>
      <c r="O50" s="104">
        <f t="shared" si="9"/>
        <v>2587782419.2154465</v>
      </c>
    </row>
    <row r="51" spans="1:15" ht="12.75">
      <c r="A51" s="95">
        <f t="shared" si="10"/>
        <v>41781</v>
      </c>
      <c r="B51" s="96">
        <f>IF(DIAS365('CALCULADORA TIPS Pesos E-14'!$E$6,A51)&lt;0,0,DIAS365('CALCULADORA TIPS Pesos E-14'!$E$6,A51))</f>
        <v>0</v>
      </c>
      <c r="C51" s="97">
        <f>+HLOOKUP('CALCULADORA TIPS Pesos E-14'!$E$4,Tablas!$B$1:$B$181,Flujos!J51+1,FALSE)</f>
        <v>0.00539463</v>
      </c>
      <c r="D51" s="98">
        <f t="shared" si="2"/>
        <v>3.663953</v>
      </c>
      <c r="E51" s="99">
        <f t="shared" si="3"/>
        <v>0.539463</v>
      </c>
      <c r="F51" s="99">
        <f>ROUND(D50*ROUND(((1+'CALCULADORA TIPS Pesos E-14'!$C$14)^(1/12)-1),6),6)</f>
        <v>0.021753</v>
      </c>
      <c r="G51" s="99">
        <f t="shared" si="4"/>
        <v>0.561216</v>
      </c>
      <c r="H51" s="100">
        <f>IF($B51=0,0,G51/POWER(1+'CALCULADORA TIPS Pesos E-14'!$F$11,Flujos!$B51/365))</f>
        <v>0</v>
      </c>
      <c r="I51" s="101">
        <f t="shared" si="1"/>
        <v>41781</v>
      </c>
      <c r="J51" s="65">
        <v>49</v>
      </c>
      <c r="K51" s="102">
        <f t="shared" si="5"/>
        <v>1490</v>
      </c>
      <c r="L51" s="106">
        <f t="shared" si="6"/>
        <v>15446356527.05467</v>
      </c>
      <c r="M51" s="103">
        <f t="shared" si="7"/>
        <v>2274248013.3218102</v>
      </c>
      <c r="N51" s="103">
        <f t="shared" si="8"/>
        <v>91704128.49644828</v>
      </c>
      <c r="O51" s="104">
        <f t="shared" si="9"/>
        <v>2365952141.8182583</v>
      </c>
    </row>
    <row r="52" spans="1:15" ht="12.75">
      <c r="A52" s="95">
        <f t="shared" si="10"/>
        <v>41812</v>
      </c>
      <c r="B52" s="96">
        <f>IF(DIAS365('CALCULADORA TIPS Pesos E-14'!$E$6,A52)&lt;0,0,DIAS365('CALCULADORA TIPS Pesos E-14'!$E$6,A52))</f>
        <v>0</v>
      </c>
      <c r="C52" s="97">
        <f>+HLOOKUP('CALCULADORA TIPS Pesos E-14'!$E$4,Tablas!$B$1:$B$181,Flujos!J52+1,FALSE)</f>
        <v>0.0055258</v>
      </c>
      <c r="D52" s="98">
        <f t="shared" si="2"/>
        <v>3.111373</v>
      </c>
      <c r="E52" s="99">
        <f t="shared" si="3"/>
        <v>0.55258</v>
      </c>
      <c r="F52" s="99">
        <f>ROUND(D51*ROUND(((1+'CALCULADORA TIPS Pesos E-14'!$C$14)^(1/12)-1),6),6)</f>
        <v>0.018961</v>
      </c>
      <c r="G52" s="99">
        <f t="shared" si="4"/>
        <v>0.571541</v>
      </c>
      <c r="H52" s="100">
        <f>IF($B52=0,0,G52/POWER(1+'CALCULADORA TIPS Pesos E-14'!$F$11,Flujos!$B52/365))</f>
        <v>0</v>
      </c>
      <c r="I52" s="101">
        <f t="shared" si="1"/>
        <v>41812</v>
      </c>
      <c r="J52" s="65">
        <v>50</v>
      </c>
      <c r="K52" s="102">
        <f t="shared" si="5"/>
        <v>1521</v>
      </c>
      <c r="L52" s="106">
        <f t="shared" si="6"/>
        <v>13116810353.913296</v>
      </c>
      <c r="M52" s="103">
        <f t="shared" si="7"/>
        <v>2329546173.1413755</v>
      </c>
      <c r="N52" s="103">
        <f t="shared" si="8"/>
        <v>79934895.02750792</v>
      </c>
      <c r="O52" s="104">
        <f t="shared" si="9"/>
        <v>2409481068.1688833</v>
      </c>
    </row>
    <row r="53" spans="1:15" ht="12.75">
      <c r="A53" s="95">
        <f t="shared" si="10"/>
        <v>41842</v>
      </c>
      <c r="B53" s="96">
        <f>IF(DIAS365('CALCULADORA TIPS Pesos E-14'!$E$6,A53)&lt;0,0,DIAS365('CALCULADORA TIPS Pesos E-14'!$E$6,A53))</f>
        <v>0</v>
      </c>
      <c r="C53" s="97">
        <f>+HLOOKUP('CALCULADORA TIPS Pesos E-14'!$E$4,Tablas!$B$1:$B$181,Flujos!J53+1,FALSE)</f>
        <v>0.00615255</v>
      </c>
      <c r="D53" s="98">
        <f t="shared" si="2"/>
        <v>2.496118</v>
      </c>
      <c r="E53" s="99">
        <f t="shared" si="3"/>
        <v>0.615255</v>
      </c>
      <c r="F53" s="99">
        <f>ROUND(D52*ROUND(((1+'CALCULADORA TIPS Pesos E-14'!$C$14)^(1/12)-1),6),6)</f>
        <v>0.016101</v>
      </c>
      <c r="G53" s="99">
        <f t="shared" si="4"/>
        <v>0.631356</v>
      </c>
      <c r="H53" s="100">
        <f>IF($B53=0,0,G53/POWER(1+'CALCULADORA TIPS Pesos E-14'!$F$11,Flujos!$B53/365))</f>
        <v>0</v>
      </c>
      <c r="I53" s="101">
        <f t="shared" si="1"/>
        <v>41842</v>
      </c>
      <c r="J53" s="65">
        <v>51</v>
      </c>
      <c r="K53" s="102">
        <f t="shared" si="5"/>
        <v>1551</v>
      </c>
      <c r="L53" s="106">
        <f t="shared" si="6"/>
        <v>10523041251.238396</v>
      </c>
      <c r="M53" s="103">
        <f t="shared" si="7"/>
        <v>2593769102.674901</v>
      </c>
      <c r="N53" s="103">
        <f t="shared" si="8"/>
        <v>67879493.5815013</v>
      </c>
      <c r="O53" s="104">
        <f t="shared" si="9"/>
        <v>2661648596.2564025</v>
      </c>
    </row>
    <row r="54" spans="1:15" ht="12.75">
      <c r="A54" s="95">
        <f t="shared" si="10"/>
        <v>41873</v>
      </c>
      <c r="B54" s="96">
        <f>IF(DIAS365('CALCULADORA TIPS Pesos E-14'!$E$6,A54)&lt;0,0,DIAS365('CALCULADORA TIPS Pesos E-14'!$E$6,A54))</f>
        <v>0</v>
      </c>
      <c r="C54" s="97">
        <f>+HLOOKUP('CALCULADORA TIPS Pesos E-14'!$E$4,Tablas!$B$1:$B$181,Flujos!J54+1,FALSE)</f>
        <v>0.00730652</v>
      </c>
      <c r="D54" s="98">
        <f t="shared" si="2"/>
        <v>1.765466</v>
      </c>
      <c r="E54" s="99">
        <f t="shared" si="3"/>
        <v>0.730652</v>
      </c>
      <c r="F54" s="99">
        <f>ROUND(D53*ROUND(((1+'CALCULADORA TIPS Pesos E-14'!$C$14)^(1/12)-1),6),6)</f>
        <v>0.012917</v>
      </c>
      <c r="G54" s="99">
        <f t="shared" si="4"/>
        <v>0.7435689999999999</v>
      </c>
      <c r="H54" s="100">
        <f>IF($B54=0,0,G54/POWER(1+'CALCULADORA TIPS Pesos E-14'!$F$11,Flujos!$B54/365))</f>
        <v>0</v>
      </c>
      <c r="I54" s="101">
        <f t="shared" si="1"/>
        <v>41873</v>
      </c>
      <c r="J54" s="65">
        <v>52</v>
      </c>
      <c r="K54" s="102">
        <f t="shared" si="5"/>
        <v>1582</v>
      </c>
      <c r="L54" s="106">
        <f t="shared" si="6"/>
        <v>7442785776.0165415</v>
      </c>
      <c r="M54" s="103">
        <f t="shared" si="7"/>
        <v>3080255475.221854</v>
      </c>
      <c r="N54" s="103">
        <f t="shared" si="8"/>
        <v>54456738.4751587</v>
      </c>
      <c r="O54" s="104">
        <f t="shared" si="9"/>
        <v>3134712213.697013</v>
      </c>
    </row>
    <row r="55" spans="1:15" s="151" customFormat="1" ht="12.75">
      <c r="A55" s="139">
        <f t="shared" si="10"/>
        <v>41904</v>
      </c>
      <c r="B55" s="140">
        <f>IF(DIAS365('CALCULADORA TIPS Pesos E-14'!$E$6,A55)&lt;0,0,DIAS365('CALCULADORA TIPS Pesos E-14'!$E$6,A55))</f>
        <v>0</v>
      </c>
      <c r="C55" s="141">
        <f>+HLOOKUP('CALCULADORA TIPS Pesos E-14'!$E$4,Tablas!$B$1:$B$181,Flujos!J55+1,FALSE)</f>
        <v>0.00520178</v>
      </c>
      <c r="D55" s="142">
        <f t="shared" si="2"/>
        <v>1.245288</v>
      </c>
      <c r="E55" s="143">
        <f t="shared" si="3"/>
        <v>0.520178</v>
      </c>
      <c r="F55" s="143">
        <f>ROUND(D54*ROUND(((1+'CALCULADORA TIPS Pesos E-14'!$C$14)^(1/12)-1),6),6)</f>
        <v>0.009136</v>
      </c>
      <c r="G55" s="143">
        <f t="shared" si="4"/>
        <v>0.5293140000000001</v>
      </c>
      <c r="H55" s="144">
        <f>IF($B55=0,0,G55/POWER(1+'CALCULADORA TIPS Pesos E-14'!$F$11,Flujos!$B55/365))</f>
        <v>0</v>
      </c>
      <c r="I55" s="145">
        <f t="shared" si="1"/>
        <v>41904</v>
      </c>
      <c r="J55" s="146">
        <v>53</v>
      </c>
      <c r="K55" s="147">
        <f t="shared" si="5"/>
        <v>1613</v>
      </c>
      <c r="L55" s="148">
        <f t="shared" si="6"/>
        <v>5249838747.075331</v>
      </c>
      <c r="M55" s="149">
        <f t="shared" si="7"/>
        <v>2192947028.9412107</v>
      </c>
      <c r="N55" s="149">
        <f t="shared" si="8"/>
        <v>38516416.3908856</v>
      </c>
      <c r="O55" s="150">
        <f t="shared" si="9"/>
        <v>2231463445.3320966</v>
      </c>
    </row>
    <row r="56" spans="1:15" s="151" customFormat="1" ht="12.75">
      <c r="A56" s="139">
        <f t="shared" si="10"/>
        <v>41934</v>
      </c>
      <c r="B56" s="140">
        <f>IF(DIAS365('CALCULADORA TIPS Pesos E-14'!$E$6,A56)&lt;0,0,DIAS365('CALCULADORA TIPS Pesos E-14'!$E$6,A56))</f>
        <v>0</v>
      </c>
      <c r="C56" s="141">
        <f>+HLOOKUP('CALCULADORA TIPS Pesos E-14'!$E$4,Tablas!$B$1:$B$181,Flujos!J56+1,FALSE)</f>
        <v>0.00488342</v>
      </c>
      <c r="D56" s="142">
        <f t="shared" si="2"/>
        <v>0.756946</v>
      </c>
      <c r="E56" s="143">
        <f t="shared" si="3"/>
        <v>0.488342</v>
      </c>
      <c r="F56" s="143">
        <f>ROUND(D55*ROUND(((1+'CALCULADORA TIPS Pesos E-14'!$C$14)^(1/12)-1),6),6)</f>
        <v>0.006444</v>
      </c>
      <c r="G56" s="143">
        <f t="shared" si="4"/>
        <v>0.494786</v>
      </c>
      <c r="H56" s="144">
        <f>IF($B56=0,0,G56/POWER(1+'CALCULADORA TIPS Pesos E-14'!$F$11,Flujos!$B56/365))</f>
        <v>0</v>
      </c>
      <c r="I56" s="145">
        <f t="shared" si="1"/>
        <v>41934</v>
      </c>
      <c r="J56" s="146">
        <v>54</v>
      </c>
      <c r="K56" s="147">
        <f t="shared" si="5"/>
        <v>1643</v>
      </c>
      <c r="L56" s="148">
        <f t="shared" si="6"/>
        <v>3191104740.6252136</v>
      </c>
      <c r="M56" s="149">
        <f t="shared" si="7"/>
        <v>2058734006.4501169</v>
      </c>
      <c r="N56" s="149">
        <f t="shared" si="8"/>
        <v>27167915.516114835</v>
      </c>
      <c r="O56" s="150">
        <f t="shared" si="9"/>
        <v>2085901921.9662318</v>
      </c>
    </row>
    <row r="57" spans="1:15" s="168" customFormat="1" ht="12.75">
      <c r="A57" s="156">
        <f t="shared" si="10"/>
        <v>41965</v>
      </c>
      <c r="B57" s="157">
        <f>IF(DIAS365('CALCULADORA TIPS Pesos E-14'!$E$6,A57)&lt;0,0,DIAS365('CALCULADORA TIPS Pesos E-14'!$E$6,A57))</f>
        <v>0</v>
      </c>
      <c r="C57" s="158">
        <f>+HLOOKUP('CALCULADORA TIPS Pesos E-14'!$E$4,Tablas!$B$1:$B$181,Flujos!J57+1,FALSE)</f>
        <v>0.00519741</v>
      </c>
      <c r="D57" s="159">
        <f t="shared" si="2"/>
        <v>0.237205</v>
      </c>
      <c r="E57" s="160">
        <f t="shared" si="3"/>
        <v>0.519741</v>
      </c>
      <c r="F57" s="160">
        <f>ROUND(D56*ROUND(((1+'CALCULADORA TIPS Pesos E-14'!$C$14)^(1/12)-1),6),6)</f>
        <v>0.003917</v>
      </c>
      <c r="G57" s="160">
        <f t="shared" si="4"/>
        <v>0.523658</v>
      </c>
      <c r="H57" s="161">
        <f>IF($B57=0,0,G57/POWER(1+'CALCULADORA TIPS Pesos E-14'!$F$11,Flujos!$B57/365))</f>
        <v>0</v>
      </c>
      <c r="I57" s="162">
        <f t="shared" si="1"/>
        <v>41965</v>
      </c>
      <c r="J57" s="163">
        <v>55</v>
      </c>
      <c r="K57" s="164">
        <f t="shared" si="5"/>
        <v>1674</v>
      </c>
      <c r="L57" s="165">
        <f t="shared" si="6"/>
        <v>1000000000.0000162</v>
      </c>
      <c r="M57" s="166">
        <f t="shared" si="7"/>
        <v>2191104740.6251974</v>
      </c>
      <c r="N57" s="166">
        <f t="shared" si="8"/>
        <v>16513967.03273548</v>
      </c>
      <c r="O57" s="167">
        <f t="shared" si="9"/>
        <v>2207618707.6579328</v>
      </c>
    </row>
    <row r="58" spans="1:15" ht="12.75">
      <c r="A58" s="95">
        <f t="shared" si="10"/>
        <v>41995</v>
      </c>
      <c r="B58" s="96">
        <f>IF(DIAS365('CALCULADORA TIPS Pesos E-14'!$E$6,A58)&lt;0,0,DIAS365('CALCULADORA TIPS Pesos E-14'!$E$6,A58))</f>
        <v>28</v>
      </c>
      <c r="C58" s="97">
        <f>+HLOOKUP('CALCULADORA TIPS Pesos E-14'!$E$4,Tablas!$B$1:$B$181,Flujos!J58+1,FALSE)</f>
        <v>0.00237205</v>
      </c>
      <c r="D58" s="98">
        <f t="shared" si="2"/>
        <v>0</v>
      </c>
      <c r="E58" s="99">
        <f t="shared" si="3"/>
        <v>0.237205</v>
      </c>
      <c r="F58" s="99">
        <f>ROUND(D57*ROUND(((1+'CALCULADORA TIPS Pesos E-14'!$C$14)^(1/12)-1),6),6)</f>
        <v>0.001228</v>
      </c>
      <c r="G58" s="99">
        <f t="shared" si="4"/>
        <v>0.238433</v>
      </c>
      <c r="H58" s="100">
        <f>IF($B58=0,0,G58/POWER(1+'CALCULADORA TIPS Pesos E-14'!$F$11,Flujos!$B58/365))</f>
        <v>0.23730102174132237</v>
      </c>
      <c r="I58" s="101">
        <f t="shared" si="1"/>
        <v>41995</v>
      </c>
      <c r="J58" s="65">
        <v>56</v>
      </c>
      <c r="K58" s="102">
        <f t="shared" si="5"/>
        <v>1704</v>
      </c>
      <c r="L58" s="106">
        <f t="shared" si="6"/>
        <v>1.621246337890625E-05</v>
      </c>
      <c r="M58" s="103">
        <f t="shared" si="7"/>
        <v>1000000000</v>
      </c>
      <c r="N58" s="103">
        <f t="shared" si="8"/>
        <v>5175000.000000084</v>
      </c>
      <c r="O58" s="104">
        <f t="shared" si="9"/>
        <v>1005175000.0000001</v>
      </c>
    </row>
    <row r="59" spans="1:15" ht="12.75">
      <c r="A59" s="95">
        <f t="shared" si="10"/>
        <v>42026</v>
      </c>
      <c r="B59" s="96">
        <f>IF(DIAS365('CALCULADORA TIPS Pesos E-14'!$E$6,A59)&lt;0,0,DIAS365('CALCULADORA TIPS Pesos E-14'!$E$6,A59))</f>
        <v>59</v>
      </c>
      <c r="C59" s="97">
        <f>+HLOOKUP('CALCULADORA TIPS Pesos E-14'!$E$4,Tablas!$B$1:$B$181,Flujos!J59+1,FALSE)</f>
        <v>0</v>
      </c>
      <c r="D59" s="98">
        <f t="shared" si="2"/>
        <v>0</v>
      </c>
      <c r="E59" s="99">
        <f t="shared" si="3"/>
        <v>0</v>
      </c>
      <c r="F59" s="99">
        <f>ROUND(D58*ROUND(((1+'CALCULADORA TIPS Pesos E-14'!$C$14)^(1/12)-1),6),6)</f>
        <v>0</v>
      </c>
      <c r="G59" s="99">
        <f t="shared" si="4"/>
        <v>0</v>
      </c>
      <c r="H59" s="100">
        <f>IF($B59=0,0,G59/POWER(1+'CALCULADORA TIPS Pesos E-14'!$F$11,Flujos!$B59/365))</f>
        <v>0</v>
      </c>
      <c r="I59" s="101">
        <f t="shared" si="1"/>
        <v>42026</v>
      </c>
      <c r="J59" s="65">
        <v>57</v>
      </c>
      <c r="K59" s="102">
        <f t="shared" si="5"/>
        <v>1735</v>
      </c>
      <c r="L59" s="106">
        <f t="shared" si="6"/>
        <v>1.621246337890625E-05</v>
      </c>
      <c r="M59" s="103">
        <f t="shared" si="7"/>
        <v>0</v>
      </c>
      <c r="N59" s="103">
        <f t="shared" si="8"/>
        <v>8.389949798583984E-08</v>
      </c>
      <c r="O59" s="104">
        <f t="shared" si="9"/>
        <v>8.389949798583984E-08</v>
      </c>
    </row>
    <row r="60" spans="1:15" ht="12.75">
      <c r="A60" s="95">
        <f t="shared" si="10"/>
        <v>42057</v>
      </c>
      <c r="B60" s="96">
        <f>IF(DIAS365('CALCULADORA TIPS Pesos E-14'!$E$6,A60)&lt;0,0,DIAS365('CALCULADORA TIPS Pesos E-14'!$E$6,A60))</f>
        <v>90</v>
      </c>
      <c r="C60" s="97">
        <f>+HLOOKUP('CALCULADORA TIPS Pesos E-14'!$E$4,Tablas!$B$1:$B$181,Flujos!J60+1,FALSE)</f>
        <v>0</v>
      </c>
      <c r="D60" s="98">
        <f t="shared" si="2"/>
        <v>0</v>
      </c>
      <c r="E60" s="99">
        <f t="shared" si="3"/>
        <v>0</v>
      </c>
      <c r="F60" s="99">
        <f>ROUND(D59*ROUND(((1+'CALCULADORA TIPS Pesos E-14'!$C$14)^(1/12)-1),6),6)</f>
        <v>0</v>
      </c>
      <c r="G60" s="99">
        <f t="shared" si="4"/>
        <v>0</v>
      </c>
      <c r="H60" s="100">
        <f>IF($B60=0,0,G60/POWER(1+'CALCULADORA TIPS Pesos E-14'!$F$11,Flujos!$B60/365))</f>
        <v>0</v>
      </c>
      <c r="I60" s="101">
        <f t="shared" si="1"/>
        <v>42057</v>
      </c>
      <c r="J60" s="65">
        <v>58</v>
      </c>
      <c r="K60" s="102">
        <f t="shared" si="5"/>
        <v>1766</v>
      </c>
      <c r="L60" s="106">
        <f t="shared" si="6"/>
        <v>1.621246337890625E-05</v>
      </c>
      <c r="M60" s="103">
        <f t="shared" si="7"/>
        <v>0</v>
      </c>
      <c r="N60" s="103">
        <f t="shared" si="8"/>
        <v>8.389949798583984E-08</v>
      </c>
      <c r="O60" s="104">
        <f t="shared" si="9"/>
        <v>8.389949798583984E-08</v>
      </c>
    </row>
    <row r="61" spans="1:15" ht="12.75">
      <c r="A61" s="95">
        <f t="shared" si="10"/>
        <v>42085</v>
      </c>
      <c r="B61" s="96">
        <f>IF(DIAS365('CALCULADORA TIPS Pesos E-14'!$E$6,A61)&lt;0,0,DIAS365('CALCULADORA TIPS Pesos E-14'!$E$6,A61))</f>
        <v>118</v>
      </c>
      <c r="C61" s="97">
        <f>+HLOOKUP('CALCULADORA TIPS Pesos E-14'!$E$4,Tablas!$B$1:$B$181,Flujos!J61+1,FALSE)</f>
        <v>0</v>
      </c>
      <c r="D61" s="98">
        <f t="shared" si="2"/>
        <v>0</v>
      </c>
      <c r="E61" s="99">
        <f t="shared" si="3"/>
        <v>0</v>
      </c>
      <c r="F61" s="99">
        <f>ROUND(D60*ROUND(((1+'CALCULADORA TIPS Pesos E-14'!$C$14)^(1/12)-1),6),6)</f>
        <v>0</v>
      </c>
      <c r="G61" s="99">
        <f t="shared" si="4"/>
        <v>0</v>
      </c>
      <c r="H61" s="100">
        <f>IF($B61=0,0,G61/POWER(1+'CALCULADORA TIPS Pesos E-14'!$F$11,Flujos!$B61/365))</f>
        <v>0</v>
      </c>
      <c r="I61" s="101">
        <f t="shared" si="1"/>
        <v>42085</v>
      </c>
      <c r="J61" s="65">
        <v>59</v>
      </c>
      <c r="K61" s="102">
        <f t="shared" si="5"/>
        <v>1794</v>
      </c>
      <c r="L61" s="106">
        <f t="shared" si="6"/>
        <v>1.621246337890625E-05</v>
      </c>
      <c r="M61" s="103">
        <f t="shared" si="7"/>
        <v>0</v>
      </c>
      <c r="N61" s="103">
        <f t="shared" si="8"/>
        <v>8.389949798583984E-08</v>
      </c>
      <c r="O61" s="104">
        <f t="shared" si="9"/>
        <v>8.389949798583984E-08</v>
      </c>
    </row>
    <row r="62" spans="1:15" ht="12.75">
      <c r="A62" s="95">
        <f t="shared" si="10"/>
        <v>42116</v>
      </c>
      <c r="B62" s="96">
        <f>IF(DIAS365('CALCULADORA TIPS Pesos E-14'!$E$6,A62)&lt;0,0,DIAS365('CALCULADORA TIPS Pesos E-14'!$E$6,A62))</f>
        <v>149</v>
      </c>
      <c r="C62" s="97">
        <f>+HLOOKUP('CALCULADORA TIPS Pesos E-14'!$E$4,Tablas!$B$1:$B$181,Flujos!J62+1,FALSE)</f>
        <v>0</v>
      </c>
      <c r="D62" s="98">
        <f t="shared" si="2"/>
        <v>0</v>
      </c>
      <c r="E62" s="99">
        <f t="shared" si="3"/>
        <v>0</v>
      </c>
      <c r="F62" s="99">
        <f>ROUND(D61*ROUND(((1+'CALCULADORA TIPS Pesos E-14'!$C$14)^(1/12)-1),6),6)</f>
        <v>0</v>
      </c>
      <c r="G62" s="99">
        <f t="shared" si="4"/>
        <v>0</v>
      </c>
      <c r="H62" s="100">
        <f>IF($B62=0,0,G62/POWER(1+'CALCULADORA TIPS Pesos E-14'!$F$11,Flujos!$B62/365))</f>
        <v>0</v>
      </c>
      <c r="I62" s="101">
        <f t="shared" si="1"/>
        <v>42116</v>
      </c>
      <c r="J62" s="65">
        <v>60</v>
      </c>
      <c r="K62" s="102">
        <f t="shared" si="5"/>
        <v>1825</v>
      </c>
      <c r="L62" s="106">
        <f t="shared" si="6"/>
        <v>1.621246337890625E-05</v>
      </c>
      <c r="M62" s="103">
        <f t="shared" si="7"/>
        <v>0</v>
      </c>
      <c r="N62" s="103">
        <f t="shared" si="8"/>
        <v>8.389949798583984E-08</v>
      </c>
      <c r="O62" s="104">
        <f t="shared" si="9"/>
        <v>8.389949798583984E-08</v>
      </c>
    </row>
    <row r="63" spans="1:15" ht="12.75">
      <c r="A63" s="95">
        <f t="shared" si="10"/>
        <v>42146</v>
      </c>
      <c r="B63" s="96">
        <f>IF(DIAS365('CALCULADORA TIPS Pesos E-14'!$E$6,A63)&lt;0,0,DIAS365('CALCULADORA TIPS Pesos E-14'!$E$6,A63))</f>
        <v>179</v>
      </c>
      <c r="C63" s="97">
        <f>+HLOOKUP('CALCULADORA TIPS Pesos E-14'!$E$4,Tablas!$B$1:$B$181,Flujos!J63+1,FALSE)</f>
        <v>0</v>
      </c>
      <c r="D63" s="98">
        <f t="shared" si="2"/>
        <v>0</v>
      </c>
      <c r="E63" s="99">
        <f t="shared" si="3"/>
        <v>0</v>
      </c>
      <c r="F63" s="99">
        <f>ROUND(D62*ROUND(((1+'CALCULADORA TIPS Pesos E-14'!$C$14)^(1/12)-1),6),6)</f>
        <v>0</v>
      </c>
      <c r="G63" s="99">
        <f t="shared" si="4"/>
        <v>0</v>
      </c>
      <c r="H63" s="100">
        <f>IF($B63=0,0,G63/POWER(1+'CALCULADORA TIPS Pesos E-14'!$F$11,Flujos!$B63/365))</f>
        <v>0</v>
      </c>
      <c r="I63" s="101">
        <f t="shared" si="1"/>
        <v>42146</v>
      </c>
      <c r="J63" s="65">
        <v>61</v>
      </c>
      <c r="K63" s="102">
        <f t="shared" si="5"/>
        <v>1855</v>
      </c>
      <c r="L63" s="106">
        <f t="shared" si="6"/>
        <v>1.621246337890625E-05</v>
      </c>
      <c r="M63" s="103">
        <f t="shared" si="7"/>
        <v>0</v>
      </c>
      <c r="N63" s="103">
        <f t="shared" si="8"/>
        <v>8.389949798583984E-08</v>
      </c>
      <c r="O63" s="104">
        <f t="shared" si="9"/>
        <v>8.389949798583984E-08</v>
      </c>
    </row>
    <row r="64" spans="1:15" ht="12.75">
      <c r="A64" s="95">
        <f t="shared" si="10"/>
        <v>42177</v>
      </c>
      <c r="B64" s="96">
        <f>IF(DIAS365('CALCULADORA TIPS Pesos E-14'!$E$6,A64)&lt;0,0,DIAS365('CALCULADORA TIPS Pesos E-14'!$E$6,A64))</f>
        <v>210</v>
      </c>
      <c r="C64" s="97">
        <f>+HLOOKUP('CALCULADORA TIPS Pesos E-14'!$E$4,Tablas!$B$1:$B$181,Flujos!J64+1,FALSE)</f>
        <v>0</v>
      </c>
      <c r="D64" s="98">
        <f t="shared" si="2"/>
        <v>0</v>
      </c>
      <c r="E64" s="99">
        <f t="shared" si="3"/>
        <v>0</v>
      </c>
      <c r="F64" s="99">
        <f>ROUND(D63*ROUND(((1+'CALCULADORA TIPS Pesos E-14'!$C$14)^(1/12)-1),6),6)</f>
        <v>0</v>
      </c>
      <c r="G64" s="99">
        <f t="shared" si="4"/>
        <v>0</v>
      </c>
      <c r="H64" s="100">
        <f>IF($B64=0,0,G64/POWER(1+'CALCULADORA TIPS Pesos E-14'!$F$11,Flujos!$B64/365))</f>
        <v>0</v>
      </c>
      <c r="I64" s="101">
        <f t="shared" si="1"/>
        <v>42177</v>
      </c>
      <c r="J64" s="65">
        <v>62</v>
      </c>
      <c r="K64" s="102">
        <f t="shared" si="5"/>
        <v>1886</v>
      </c>
      <c r="L64" s="106">
        <f t="shared" si="6"/>
        <v>1.621246337890625E-05</v>
      </c>
      <c r="M64" s="103">
        <f t="shared" si="7"/>
        <v>0</v>
      </c>
      <c r="N64" s="103">
        <f t="shared" si="8"/>
        <v>8.389949798583984E-08</v>
      </c>
      <c r="O64" s="104">
        <f t="shared" si="9"/>
        <v>8.389949798583984E-08</v>
      </c>
    </row>
    <row r="65" spans="1:15" ht="12.75">
      <c r="A65" s="95">
        <f t="shared" si="10"/>
        <v>42207</v>
      </c>
      <c r="B65" s="96">
        <f>IF(DIAS365('CALCULADORA TIPS Pesos E-14'!$E$6,A65)&lt;0,0,DIAS365('CALCULADORA TIPS Pesos E-14'!$E$6,A65))</f>
        <v>240</v>
      </c>
      <c r="C65" s="97">
        <f>+HLOOKUP('CALCULADORA TIPS Pesos E-14'!$E$4,Tablas!$B$1:$B$181,Flujos!J65+1,FALSE)</f>
        <v>0</v>
      </c>
      <c r="D65" s="98">
        <f t="shared" si="2"/>
        <v>0</v>
      </c>
      <c r="E65" s="99">
        <f t="shared" si="3"/>
        <v>0</v>
      </c>
      <c r="F65" s="99">
        <f>ROUND(D64*ROUND(((1+'CALCULADORA TIPS Pesos E-14'!$C$14)^(1/12)-1),6),6)</f>
        <v>0</v>
      </c>
      <c r="G65" s="99">
        <f t="shared" si="4"/>
        <v>0</v>
      </c>
      <c r="H65" s="100">
        <f>IF($B65=0,0,G65/POWER(1+'CALCULADORA TIPS Pesos E-14'!$F$11,Flujos!$B65/365))</f>
        <v>0</v>
      </c>
      <c r="I65" s="101">
        <f t="shared" si="1"/>
        <v>42207</v>
      </c>
      <c r="J65" s="65">
        <v>63</v>
      </c>
      <c r="K65" s="102">
        <f t="shared" si="5"/>
        <v>1916</v>
      </c>
      <c r="L65" s="106">
        <f t="shared" si="6"/>
        <v>1.621246337890625E-05</v>
      </c>
      <c r="M65" s="103">
        <f t="shared" si="7"/>
        <v>0</v>
      </c>
      <c r="N65" s="103">
        <f t="shared" si="8"/>
        <v>8.389949798583984E-08</v>
      </c>
      <c r="O65" s="104">
        <f t="shared" si="9"/>
        <v>8.389949798583984E-08</v>
      </c>
    </row>
    <row r="66" spans="1:15" ht="12.75">
      <c r="A66" s="95">
        <f t="shared" si="10"/>
        <v>42238</v>
      </c>
      <c r="B66" s="96">
        <f>IF(DIAS365('CALCULADORA TIPS Pesos E-14'!$E$6,A66)&lt;0,0,DIAS365('CALCULADORA TIPS Pesos E-14'!$E$6,A66))</f>
        <v>271</v>
      </c>
      <c r="C66" s="97">
        <f>+HLOOKUP('CALCULADORA TIPS Pesos E-14'!$E$4,Tablas!$B$1:$B$181,Flujos!J66+1,FALSE)</f>
        <v>0</v>
      </c>
      <c r="D66" s="98">
        <f t="shared" si="2"/>
        <v>0</v>
      </c>
      <c r="E66" s="99">
        <f t="shared" si="3"/>
        <v>0</v>
      </c>
      <c r="F66" s="99">
        <f>ROUND(D65*ROUND(((1+'CALCULADORA TIPS Pesos E-14'!$C$14)^(1/12)-1),6),6)</f>
        <v>0</v>
      </c>
      <c r="G66" s="99">
        <f t="shared" si="4"/>
        <v>0</v>
      </c>
      <c r="H66" s="100">
        <f>IF($B66=0,0,G66/POWER(1+'CALCULADORA TIPS Pesos E-14'!$F$11,Flujos!$B66/365))</f>
        <v>0</v>
      </c>
      <c r="I66" s="101">
        <f t="shared" si="1"/>
        <v>42238</v>
      </c>
      <c r="J66" s="65">
        <v>64</v>
      </c>
      <c r="K66" s="102">
        <f t="shared" si="5"/>
        <v>1947</v>
      </c>
      <c r="L66" s="106">
        <f t="shared" si="6"/>
        <v>1.621246337890625E-05</v>
      </c>
      <c r="M66" s="103">
        <f t="shared" si="7"/>
        <v>0</v>
      </c>
      <c r="N66" s="103">
        <f t="shared" si="8"/>
        <v>8.389949798583984E-08</v>
      </c>
      <c r="O66" s="104">
        <f t="shared" si="9"/>
        <v>8.389949798583984E-08</v>
      </c>
    </row>
    <row r="67" spans="1:15" ht="12.75">
      <c r="A67" s="95">
        <f aca="true" t="shared" si="11" ref="A67:A98">_XLL.FECHA.MES(A66,1)</f>
        <v>42269</v>
      </c>
      <c r="B67" s="96">
        <f>IF(DIAS365('CALCULADORA TIPS Pesos E-14'!$E$6,A67)&lt;0,0,DIAS365('CALCULADORA TIPS Pesos E-14'!$E$6,A67))</f>
        <v>302</v>
      </c>
      <c r="C67" s="97">
        <f>+HLOOKUP('CALCULADORA TIPS Pesos E-14'!$E$4,Tablas!$B$1:$B$181,Flujos!J67+1,FALSE)</f>
        <v>0</v>
      </c>
      <c r="D67" s="98">
        <f t="shared" si="2"/>
        <v>0</v>
      </c>
      <c r="E67" s="99">
        <f t="shared" si="3"/>
        <v>0</v>
      </c>
      <c r="F67" s="99">
        <f>ROUND(D66*ROUND(((1+'CALCULADORA TIPS Pesos E-14'!$C$14)^(1/12)-1),6),6)</f>
        <v>0</v>
      </c>
      <c r="G67" s="99">
        <f t="shared" si="4"/>
        <v>0</v>
      </c>
      <c r="H67" s="100">
        <f>IF($B67=0,0,G67/POWER(1+'CALCULADORA TIPS Pesos E-14'!$F$11,Flujos!$B67/365))</f>
        <v>0</v>
      </c>
      <c r="I67" s="101">
        <f aca="true" t="shared" si="12" ref="I67:I130">+A67</f>
        <v>42269</v>
      </c>
      <c r="J67" s="65">
        <v>65</v>
      </c>
      <c r="K67" s="102">
        <f t="shared" si="5"/>
        <v>1978</v>
      </c>
      <c r="L67" s="106">
        <f t="shared" si="6"/>
        <v>1.621246337890625E-05</v>
      </c>
      <c r="M67" s="103">
        <f t="shared" si="7"/>
        <v>0</v>
      </c>
      <c r="N67" s="103">
        <f t="shared" si="8"/>
        <v>8.389949798583984E-08</v>
      </c>
      <c r="O67" s="104">
        <f t="shared" si="9"/>
        <v>8.389949798583984E-08</v>
      </c>
    </row>
    <row r="68" spans="1:15" ht="12.75">
      <c r="A68" s="95">
        <f t="shared" si="11"/>
        <v>42299</v>
      </c>
      <c r="B68" s="96">
        <f>IF(DIAS365('CALCULADORA TIPS Pesos E-14'!$E$6,A68)&lt;0,0,DIAS365('CALCULADORA TIPS Pesos E-14'!$E$6,A68))</f>
        <v>332</v>
      </c>
      <c r="C68" s="97">
        <f>+HLOOKUP('CALCULADORA TIPS Pesos E-14'!$E$4,Tablas!$B$1:$B$181,Flujos!J68+1,FALSE)</f>
        <v>0</v>
      </c>
      <c r="D68" s="98">
        <f aca="true" t="shared" si="13" ref="D68:D131">+ROUND(D67-E68,6)</f>
        <v>0</v>
      </c>
      <c r="E68" s="99">
        <f aca="true" t="shared" si="14" ref="E68:E131">ROUND(C68*$D$2,6)</f>
        <v>0</v>
      </c>
      <c r="F68" s="99">
        <f>ROUND(D67*ROUND(((1+'CALCULADORA TIPS Pesos E-14'!$C$14)^(1/12)-1),6),6)</f>
        <v>0</v>
      </c>
      <c r="G68" s="99">
        <f aca="true" t="shared" si="15" ref="G68:G131">F68+E68</f>
        <v>0</v>
      </c>
      <c r="H68" s="100">
        <f>IF($B68=0,0,G68/POWER(1+'CALCULADORA TIPS Pesos E-14'!$F$11,Flujos!$B68/365))</f>
        <v>0</v>
      </c>
      <c r="I68" s="101">
        <f t="shared" si="12"/>
        <v>42299</v>
      </c>
      <c r="J68" s="65">
        <v>66</v>
      </c>
      <c r="K68" s="102">
        <f aca="true" t="shared" si="16" ref="K68:K131">+DIAS365($A$2,A68)</f>
        <v>2008</v>
      </c>
      <c r="L68" s="106">
        <f aca="true" t="shared" si="17" ref="L68:L131">+L67-M68</f>
        <v>1.621246337890625E-05</v>
      </c>
      <c r="M68" s="103">
        <f aca="true" t="shared" si="18" ref="M68:M131">+$L$2*C68</f>
        <v>0</v>
      </c>
      <c r="N68" s="103">
        <f aca="true" t="shared" si="19" ref="N68:N131">+L67*$F$3%</f>
        <v>8.389949798583984E-08</v>
      </c>
      <c r="O68" s="104">
        <f aca="true" t="shared" si="20" ref="O68:O131">+N68+M68</f>
        <v>8.389949798583984E-08</v>
      </c>
    </row>
    <row r="69" spans="1:15" ht="12.75">
      <c r="A69" s="95">
        <f t="shared" si="11"/>
        <v>42330</v>
      </c>
      <c r="B69" s="96">
        <f>IF(DIAS365('CALCULADORA TIPS Pesos E-14'!$E$6,A69)&lt;0,0,DIAS365('CALCULADORA TIPS Pesos E-14'!$E$6,A69))</f>
        <v>363</v>
      </c>
      <c r="C69" s="97">
        <f>+HLOOKUP('CALCULADORA TIPS Pesos E-14'!$E$4,Tablas!$B$1:$B$181,Flujos!J69+1,FALSE)</f>
        <v>0</v>
      </c>
      <c r="D69" s="98">
        <f t="shared" si="13"/>
        <v>0</v>
      </c>
      <c r="E69" s="99">
        <f t="shared" si="14"/>
        <v>0</v>
      </c>
      <c r="F69" s="99">
        <f>ROUND(D68*ROUND(((1+'CALCULADORA TIPS Pesos E-14'!$C$14)^(1/12)-1),6),6)</f>
        <v>0</v>
      </c>
      <c r="G69" s="99">
        <f t="shared" si="15"/>
        <v>0</v>
      </c>
      <c r="H69" s="100">
        <f>IF($B69=0,0,G69/POWER(1+'CALCULADORA TIPS Pesos E-14'!$F$11,Flujos!$B69/365))</f>
        <v>0</v>
      </c>
      <c r="I69" s="101">
        <f t="shared" si="12"/>
        <v>42330</v>
      </c>
      <c r="J69" s="65">
        <v>67</v>
      </c>
      <c r="K69" s="102">
        <f t="shared" si="16"/>
        <v>2039</v>
      </c>
      <c r="L69" s="106">
        <f t="shared" si="17"/>
        <v>1.621246337890625E-05</v>
      </c>
      <c r="M69" s="103">
        <f t="shared" si="18"/>
        <v>0</v>
      </c>
      <c r="N69" s="103">
        <f t="shared" si="19"/>
        <v>8.389949798583984E-08</v>
      </c>
      <c r="O69" s="104">
        <f t="shared" si="20"/>
        <v>8.389949798583984E-08</v>
      </c>
    </row>
    <row r="70" spans="1:15" ht="12.75">
      <c r="A70" s="95">
        <f t="shared" si="11"/>
        <v>42360</v>
      </c>
      <c r="B70" s="96">
        <f>IF(DIAS365('CALCULADORA TIPS Pesos E-14'!$E$6,A70)&lt;0,0,DIAS365('CALCULADORA TIPS Pesos E-14'!$E$6,A70))</f>
        <v>393</v>
      </c>
      <c r="C70" s="97">
        <f>+HLOOKUP('CALCULADORA TIPS Pesos E-14'!$E$4,Tablas!$B$1:$B$181,Flujos!J70+1,FALSE)</f>
        <v>0</v>
      </c>
      <c r="D70" s="98">
        <f t="shared" si="13"/>
        <v>0</v>
      </c>
      <c r="E70" s="99">
        <f t="shared" si="14"/>
        <v>0</v>
      </c>
      <c r="F70" s="99">
        <f>ROUND(D69*ROUND(((1+'CALCULADORA TIPS Pesos E-14'!$C$14)^(1/12)-1),6),6)</f>
        <v>0</v>
      </c>
      <c r="G70" s="99">
        <f t="shared" si="15"/>
        <v>0</v>
      </c>
      <c r="H70" s="100">
        <f>IF($B70=0,0,G70/POWER(1+'CALCULADORA TIPS Pesos E-14'!$F$11,Flujos!$B70/365))</f>
        <v>0</v>
      </c>
      <c r="I70" s="101">
        <f t="shared" si="12"/>
        <v>42360</v>
      </c>
      <c r="J70" s="65">
        <v>68</v>
      </c>
      <c r="K70" s="102">
        <f t="shared" si="16"/>
        <v>2069</v>
      </c>
      <c r="L70" s="106">
        <f t="shared" si="17"/>
        <v>1.621246337890625E-05</v>
      </c>
      <c r="M70" s="103">
        <f t="shared" si="18"/>
        <v>0</v>
      </c>
      <c r="N70" s="103">
        <f t="shared" si="19"/>
        <v>8.389949798583984E-08</v>
      </c>
      <c r="O70" s="104">
        <f t="shared" si="20"/>
        <v>8.389949798583984E-08</v>
      </c>
    </row>
    <row r="71" spans="1:15" ht="12.75">
      <c r="A71" s="95">
        <f t="shared" si="11"/>
        <v>42391</v>
      </c>
      <c r="B71" s="96">
        <f>IF(DIAS365('CALCULADORA TIPS Pesos E-14'!$E$6,A71)&lt;0,0,DIAS365('CALCULADORA TIPS Pesos E-14'!$E$6,A71))</f>
        <v>424</v>
      </c>
      <c r="C71" s="97">
        <f>+HLOOKUP('CALCULADORA TIPS Pesos E-14'!$E$4,Tablas!$B$1:$B$181,Flujos!J71+1,FALSE)</f>
        <v>0</v>
      </c>
      <c r="D71" s="98">
        <f t="shared" si="13"/>
        <v>0</v>
      </c>
      <c r="E71" s="99">
        <f t="shared" si="14"/>
        <v>0</v>
      </c>
      <c r="F71" s="99">
        <f>ROUND(D70*ROUND(((1+'CALCULADORA TIPS Pesos E-14'!$C$14)^(1/12)-1),6),6)</f>
        <v>0</v>
      </c>
      <c r="G71" s="99">
        <f t="shared" si="15"/>
        <v>0</v>
      </c>
      <c r="H71" s="100">
        <f>IF($B71=0,0,G71/POWER(1+'CALCULADORA TIPS Pesos E-14'!$F$11,Flujos!$B71/365))</f>
        <v>0</v>
      </c>
      <c r="I71" s="101">
        <f t="shared" si="12"/>
        <v>42391</v>
      </c>
      <c r="J71" s="65">
        <v>69</v>
      </c>
      <c r="K71" s="102">
        <f t="shared" si="16"/>
        <v>2100</v>
      </c>
      <c r="L71" s="106">
        <f t="shared" si="17"/>
        <v>1.621246337890625E-05</v>
      </c>
      <c r="M71" s="103">
        <f t="shared" si="18"/>
        <v>0</v>
      </c>
      <c r="N71" s="103">
        <f t="shared" si="19"/>
        <v>8.389949798583984E-08</v>
      </c>
      <c r="O71" s="104">
        <f t="shared" si="20"/>
        <v>8.389949798583984E-08</v>
      </c>
    </row>
    <row r="72" spans="1:15" ht="12.75">
      <c r="A72" s="95">
        <f t="shared" si="11"/>
        <v>42422</v>
      </c>
      <c r="B72" s="96">
        <f>IF(DIAS365('CALCULADORA TIPS Pesos E-14'!$E$6,A72)&lt;0,0,DIAS365('CALCULADORA TIPS Pesos E-14'!$E$6,A72))</f>
        <v>455</v>
      </c>
      <c r="C72" s="97">
        <f>+HLOOKUP('CALCULADORA TIPS Pesos E-14'!$E$4,Tablas!$B$1:$B$181,Flujos!J72+1,FALSE)</f>
        <v>0</v>
      </c>
      <c r="D72" s="98">
        <f t="shared" si="13"/>
        <v>0</v>
      </c>
      <c r="E72" s="99">
        <f t="shared" si="14"/>
        <v>0</v>
      </c>
      <c r="F72" s="99">
        <f>ROUND(D71*ROUND(((1+'CALCULADORA TIPS Pesos E-14'!$C$14)^(1/12)-1),6),6)</f>
        <v>0</v>
      </c>
      <c r="G72" s="99">
        <f t="shared" si="15"/>
        <v>0</v>
      </c>
      <c r="H72" s="100">
        <f>IF($B72=0,0,G72/POWER(1+'CALCULADORA TIPS Pesos E-14'!$F$11,Flujos!$B72/365))</f>
        <v>0</v>
      </c>
      <c r="I72" s="101">
        <f t="shared" si="12"/>
        <v>42422</v>
      </c>
      <c r="J72" s="65">
        <v>70</v>
      </c>
      <c r="K72" s="102">
        <f t="shared" si="16"/>
        <v>2131</v>
      </c>
      <c r="L72" s="106">
        <f t="shared" si="17"/>
        <v>1.621246337890625E-05</v>
      </c>
      <c r="M72" s="103">
        <f t="shared" si="18"/>
        <v>0</v>
      </c>
      <c r="N72" s="103">
        <f t="shared" si="19"/>
        <v>8.389949798583984E-08</v>
      </c>
      <c r="O72" s="104">
        <f t="shared" si="20"/>
        <v>8.389949798583984E-08</v>
      </c>
    </row>
    <row r="73" spans="1:15" ht="12.75">
      <c r="A73" s="95">
        <f t="shared" si="11"/>
        <v>42451</v>
      </c>
      <c r="B73" s="96">
        <f>IF(DIAS365('CALCULADORA TIPS Pesos E-14'!$E$6,A73)&lt;0,0,DIAS365('CALCULADORA TIPS Pesos E-14'!$E$6,A73))</f>
        <v>483</v>
      </c>
      <c r="C73" s="97">
        <f>+HLOOKUP('CALCULADORA TIPS Pesos E-14'!$E$4,Tablas!$B$1:$B$181,Flujos!J73+1,FALSE)</f>
        <v>0</v>
      </c>
      <c r="D73" s="98">
        <f t="shared" si="13"/>
        <v>0</v>
      </c>
      <c r="E73" s="99">
        <f t="shared" si="14"/>
        <v>0</v>
      </c>
      <c r="F73" s="99">
        <f>ROUND(D72*ROUND(((1+'CALCULADORA TIPS Pesos E-14'!$C$14)^(1/12)-1),6),6)</f>
        <v>0</v>
      </c>
      <c r="G73" s="99">
        <f t="shared" si="15"/>
        <v>0</v>
      </c>
      <c r="H73" s="100">
        <f>IF($B73=0,0,G73/POWER(1+'CALCULADORA TIPS Pesos E-14'!$F$11,Flujos!$B73/365))</f>
        <v>0</v>
      </c>
      <c r="I73" s="101">
        <f t="shared" si="12"/>
        <v>42451</v>
      </c>
      <c r="J73" s="65">
        <v>71</v>
      </c>
      <c r="K73" s="102">
        <f t="shared" si="16"/>
        <v>2159</v>
      </c>
      <c r="L73" s="106">
        <f t="shared" si="17"/>
        <v>1.621246337890625E-05</v>
      </c>
      <c r="M73" s="103">
        <f t="shared" si="18"/>
        <v>0</v>
      </c>
      <c r="N73" s="103">
        <f t="shared" si="19"/>
        <v>8.389949798583984E-08</v>
      </c>
      <c r="O73" s="104">
        <f t="shared" si="20"/>
        <v>8.389949798583984E-08</v>
      </c>
    </row>
    <row r="74" spans="1:15" ht="12.75">
      <c r="A74" s="95">
        <f t="shared" si="11"/>
        <v>42482</v>
      </c>
      <c r="B74" s="96">
        <f>IF(DIAS365('CALCULADORA TIPS Pesos E-14'!$E$6,A74)&lt;0,0,DIAS365('CALCULADORA TIPS Pesos E-14'!$E$6,A74))</f>
        <v>514</v>
      </c>
      <c r="C74" s="97">
        <f>+HLOOKUP('CALCULADORA TIPS Pesos E-14'!$E$4,Tablas!$B$1:$B$181,Flujos!J74+1,FALSE)</f>
        <v>0</v>
      </c>
      <c r="D74" s="98">
        <f t="shared" si="13"/>
        <v>0</v>
      </c>
      <c r="E74" s="99">
        <f t="shared" si="14"/>
        <v>0</v>
      </c>
      <c r="F74" s="99">
        <f>ROUND(D73*ROUND(((1+'CALCULADORA TIPS Pesos E-14'!$C$14)^(1/12)-1),6),6)</f>
        <v>0</v>
      </c>
      <c r="G74" s="99">
        <f t="shared" si="15"/>
        <v>0</v>
      </c>
      <c r="H74" s="100">
        <f>IF($B74=0,0,G74/POWER(1+'CALCULADORA TIPS Pesos E-14'!$F$11,Flujos!$B74/365))</f>
        <v>0</v>
      </c>
      <c r="I74" s="101">
        <f t="shared" si="12"/>
        <v>42482</v>
      </c>
      <c r="J74" s="65">
        <v>72</v>
      </c>
      <c r="K74" s="102">
        <f t="shared" si="16"/>
        <v>2190</v>
      </c>
      <c r="L74" s="106">
        <f t="shared" si="17"/>
        <v>1.621246337890625E-05</v>
      </c>
      <c r="M74" s="103">
        <f t="shared" si="18"/>
        <v>0</v>
      </c>
      <c r="N74" s="103">
        <f t="shared" si="19"/>
        <v>8.389949798583984E-08</v>
      </c>
      <c r="O74" s="104">
        <f t="shared" si="20"/>
        <v>8.389949798583984E-08</v>
      </c>
    </row>
    <row r="75" spans="1:15" ht="12.75">
      <c r="A75" s="95">
        <f t="shared" si="11"/>
        <v>42512</v>
      </c>
      <c r="B75" s="96">
        <f>IF(DIAS365('CALCULADORA TIPS Pesos E-14'!$E$6,A75)&lt;0,0,DIAS365('CALCULADORA TIPS Pesos E-14'!$E$6,A75))</f>
        <v>544</v>
      </c>
      <c r="C75" s="97">
        <f>+HLOOKUP('CALCULADORA TIPS Pesos E-14'!$E$4,Tablas!$B$1:$B$181,Flujos!J75+1,FALSE)</f>
        <v>0</v>
      </c>
      <c r="D75" s="98">
        <f t="shared" si="13"/>
        <v>0</v>
      </c>
      <c r="E75" s="99">
        <f t="shared" si="14"/>
        <v>0</v>
      </c>
      <c r="F75" s="99">
        <f>ROUND(D74*ROUND(((1+'CALCULADORA TIPS Pesos E-14'!$C$14)^(1/12)-1),6),6)</f>
        <v>0</v>
      </c>
      <c r="G75" s="99">
        <f t="shared" si="15"/>
        <v>0</v>
      </c>
      <c r="H75" s="100">
        <f>IF($B75=0,0,G75/POWER(1+'CALCULADORA TIPS Pesos E-14'!$F$11,Flujos!$B75/365))</f>
        <v>0</v>
      </c>
      <c r="I75" s="101">
        <f t="shared" si="12"/>
        <v>42512</v>
      </c>
      <c r="J75" s="65">
        <v>73</v>
      </c>
      <c r="K75" s="102">
        <f t="shared" si="16"/>
        <v>2220</v>
      </c>
      <c r="L75" s="106">
        <f t="shared" si="17"/>
        <v>1.621246337890625E-05</v>
      </c>
      <c r="M75" s="103">
        <f t="shared" si="18"/>
        <v>0</v>
      </c>
      <c r="N75" s="103">
        <f t="shared" si="19"/>
        <v>8.389949798583984E-08</v>
      </c>
      <c r="O75" s="104">
        <f t="shared" si="20"/>
        <v>8.389949798583984E-08</v>
      </c>
    </row>
    <row r="76" spans="1:15" ht="12.75">
      <c r="A76" s="95">
        <f t="shared" si="11"/>
        <v>42543</v>
      </c>
      <c r="B76" s="96">
        <f>IF(DIAS365('CALCULADORA TIPS Pesos E-14'!$E$6,A76)&lt;0,0,DIAS365('CALCULADORA TIPS Pesos E-14'!$E$6,A76))</f>
        <v>575</v>
      </c>
      <c r="C76" s="97">
        <f>+HLOOKUP('CALCULADORA TIPS Pesos E-14'!$E$4,Tablas!$B$1:$B$181,Flujos!J76+1,FALSE)</f>
        <v>0</v>
      </c>
      <c r="D76" s="98">
        <f t="shared" si="13"/>
        <v>0</v>
      </c>
      <c r="E76" s="99">
        <f t="shared" si="14"/>
        <v>0</v>
      </c>
      <c r="F76" s="99">
        <f>ROUND(D75*ROUND(((1+'CALCULADORA TIPS Pesos E-14'!$C$14)^(1/12)-1),6),6)</f>
        <v>0</v>
      </c>
      <c r="G76" s="99">
        <f t="shared" si="15"/>
        <v>0</v>
      </c>
      <c r="H76" s="100">
        <f>IF($B76=0,0,G76/POWER(1+'CALCULADORA TIPS Pesos E-14'!$F$11,Flujos!$B76/365))</f>
        <v>0</v>
      </c>
      <c r="I76" s="101">
        <f t="shared" si="12"/>
        <v>42543</v>
      </c>
      <c r="J76" s="65">
        <v>74</v>
      </c>
      <c r="K76" s="102">
        <f t="shared" si="16"/>
        <v>2251</v>
      </c>
      <c r="L76" s="106">
        <f t="shared" si="17"/>
        <v>1.621246337890625E-05</v>
      </c>
      <c r="M76" s="103">
        <f t="shared" si="18"/>
        <v>0</v>
      </c>
      <c r="N76" s="103">
        <f t="shared" si="19"/>
        <v>8.389949798583984E-08</v>
      </c>
      <c r="O76" s="104">
        <f t="shared" si="20"/>
        <v>8.389949798583984E-08</v>
      </c>
    </row>
    <row r="77" spans="1:15" ht="12.75">
      <c r="A77" s="95">
        <f t="shared" si="11"/>
        <v>42573</v>
      </c>
      <c r="B77" s="96">
        <f>IF(DIAS365('CALCULADORA TIPS Pesos E-14'!$E$6,A77)&lt;0,0,DIAS365('CALCULADORA TIPS Pesos E-14'!$E$6,A77))</f>
        <v>605</v>
      </c>
      <c r="C77" s="97">
        <f>+HLOOKUP('CALCULADORA TIPS Pesos E-14'!$E$4,Tablas!$B$1:$B$181,Flujos!J77+1,FALSE)</f>
        <v>0</v>
      </c>
      <c r="D77" s="98">
        <f t="shared" si="13"/>
        <v>0</v>
      </c>
      <c r="E77" s="99">
        <f t="shared" si="14"/>
        <v>0</v>
      </c>
      <c r="F77" s="99">
        <f>ROUND(D76*ROUND(((1+'CALCULADORA TIPS Pesos E-14'!$C$14)^(1/12)-1),6),6)</f>
        <v>0</v>
      </c>
      <c r="G77" s="99">
        <f t="shared" si="15"/>
        <v>0</v>
      </c>
      <c r="H77" s="100">
        <f>IF($B77=0,0,G77/POWER(1+'CALCULADORA TIPS Pesos E-14'!$F$11,Flujos!$B77/365))</f>
        <v>0</v>
      </c>
      <c r="I77" s="101">
        <f t="shared" si="12"/>
        <v>42573</v>
      </c>
      <c r="J77" s="65">
        <v>75</v>
      </c>
      <c r="K77" s="102">
        <f t="shared" si="16"/>
        <v>2281</v>
      </c>
      <c r="L77" s="106">
        <f t="shared" si="17"/>
        <v>1.621246337890625E-05</v>
      </c>
      <c r="M77" s="103">
        <f t="shared" si="18"/>
        <v>0</v>
      </c>
      <c r="N77" s="103">
        <f t="shared" si="19"/>
        <v>8.389949798583984E-08</v>
      </c>
      <c r="O77" s="104">
        <f t="shared" si="20"/>
        <v>8.389949798583984E-08</v>
      </c>
    </row>
    <row r="78" spans="1:15" ht="12.75">
      <c r="A78" s="95">
        <f t="shared" si="11"/>
        <v>42604</v>
      </c>
      <c r="B78" s="96">
        <f>IF(DIAS365('CALCULADORA TIPS Pesos E-14'!$E$6,A78)&lt;0,0,DIAS365('CALCULADORA TIPS Pesos E-14'!$E$6,A78))</f>
        <v>636</v>
      </c>
      <c r="C78" s="97">
        <f>+HLOOKUP('CALCULADORA TIPS Pesos E-14'!$E$4,Tablas!$B$1:$B$181,Flujos!J78+1,FALSE)</f>
        <v>0</v>
      </c>
      <c r="D78" s="98">
        <f t="shared" si="13"/>
        <v>0</v>
      </c>
      <c r="E78" s="99">
        <f t="shared" si="14"/>
        <v>0</v>
      </c>
      <c r="F78" s="99">
        <f>ROUND(D77*ROUND(((1+'CALCULADORA TIPS Pesos E-14'!$C$14)^(1/12)-1),6),6)</f>
        <v>0</v>
      </c>
      <c r="G78" s="99">
        <f t="shared" si="15"/>
        <v>0</v>
      </c>
      <c r="H78" s="100">
        <f>IF($B78=0,0,G78/POWER(1+'CALCULADORA TIPS Pesos E-14'!$F$11,Flujos!$B78/365))</f>
        <v>0</v>
      </c>
      <c r="I78" s="101">
        <f t="shared" si="12"/>
        <v>42604</v>
      </c>
      <c r="J78" s="65">
        <v>76</v>
      </c>
      <c r="K78" s="102">
        <f t="shared" si="16"/>
        <v>2312</v>
      </c>
      <c r="L78" s="106">
        <f t="shared" si="17"/>
        <v>1.621246337890625E-05</v>
      </c>
      <c r="M78" s="103">
        <f t="shared" si="18"/>
        <v>0</v>
      </c>
      <c r="N78" s="103">
        <f t="shared" si="19"/>
        <v>8.389949798583984E-08</v>
      </c>
      <c r="O78" s="104">
        <f t="shared" si="20"/>
        <v>8.389949798583984E-08</v>
      </c>
    </row>
    <row r="79" spans="1:15" ht="12.75">
      <c r="A79" s="95">
        <f t="shared" si="11"/>
        <v>42635</v>
      </c>
      <c r="B79" s="96">
        <f>IF(DIAS365('CALCULADORA TIPS Pesos E-14'!$E$6,A79)&lt;0,0,DIAS365('CALCULADORA TIPS Pesos E-14'!$E$6,A79))</f>
        <v>667</v>
      </c>
      <c r="C79" s="97">
        <f>+HLOOKUP('CALCULADORA TIPS Pesos E-14'!$E$4,Tablas!$B$1:$B$181,Flujos!J79+1,FALSE)</f>
        <v>0</v>
      </c>
      <c r="D79" s="98">
        <f t="shared" si="13"/>
        <v>0</v>
      </c>
      <c r="E79" s="99">
        <f t="shared" si="14"/>
        <v>0</v>
      </c>
      <c r="F79" s="99">
        <f>ROUND(D78*ROUND(((1+'CALCULADORA TIPS Pesos E-14'!$C$14)^(1/12)-1),6),6)</f>
        <v>0</v>
      </c>
      <c r="G79" s="99">
        <f t="shared" si="15"/>
        <v>0</v>
      </c>
      <c r="H79" s="100">
        <f>IF($B79=0,0,G79/POWER(1+'CALCULADORA TIPS Pesos E-14'!$F$11,Flujos!$B79/365))</f>
        <v>0</v>
      </c>
      <c r="I79" s="101">
        <f t="shared" si="12"/>
        <v>42635</v>
      </c>
      <c r="J79" s="65">
        <v>77</v>
      </c>
      <c r="K79" s="102">
        <f t="shared" si="16"/>
        <v>2343</v>
      </c>
      <c r="L79" s="106">
        <f t="shared" si="17"/>
        <v>1.621246337890625E-05</v>
      </c>
      <c r="M79" s="103">
        <f t="shared" si="18"/>
        <v>0</v>
      </c>
      <c r="N79" s="103">
        <f t="shared" si="19"/>
        <v>8.389949798583984E-08</v>
      </c>
      <c r="O79" s="104">
        <f t="shared" si="20"/>
        <v>8.389949798583984E-08</v>
      </c>
    </row>
    <row r="80" spans="1:15" ht="12.75">
      <c r="A80" s="95">
        <f t="shared" si="11"/>
        <v>42665</v>
      </c>
      <c r="B80" s="96">
        <f>IF(DIAS365('CALCULADORA TIPS Pesos E-14'!$E$6,A80)&lt;0,0,DIAS365('CALCULADORA TIPS Pesos E-14'!$E$6,A80))</f>
        <v>697</v>
      </c>
      <c r="C80" s="97">
        <f>+HLOOKUP('CALCULADORA TIPS Pesos E-14'!$E$4,Tablas!$B$1:$B$181,Flujos!J80+1,FALSE)</f>
        <v>0</v>
      </c>
      <c r="D80" s="98">
        <f t="shared" si="13"/>
        <v>0</v>
      </c>
      <c r="E80" s="99">
        <f t="shared" si="14"/>
        <v>0</v>
      </c>
      <c r="F80" s="99">
        <f>ROUND(D79*ROUND(((1+'CALCULADORA TIPS Pesos E-14'!$C$14)^(1/12)-1),6),6)</f>
        <v>0</v>
      </c>
      <c r="G80" s="99">
        <f t="shared" si="15"/>
        <v>0</v>
      </c>
      <c r="H80" s="100">
        <f>IF($B80=0,0,G80/POWER(1+'CALCULADORA TIPS Pesos E-14'!$F$11,Flujos!$B80/365))</f>
        <v>0</v>
      </c>
      <c r="I80" s="101">
        <f t="shared" si="12"/>
        <v>42665</v>
      </c>
      <c r="J80" s="65">
        <v>78</v>
      </c>
      <c r="K80" s="102">
        <f t="shared" si="16"/>
        <v>2373</v>
      </c>
      <c r="L80" s="106">
        <f t="shared" si="17"/>
        <v>1.621246337890625E-05</v>
      </c>
      <c r="M80" s="103">
        <f t="shared" si="18"/>
        <v>0</v>
      </c>
      <c r="N80" s="103">
        <f t="shared" si="19"/>
        <v>8.389949798583984E-08</v>
      </c>
      <c r="O80" s="104">
        <f t="shared" si="20"/>
        <v>8.389949798583984E-08</v>
      </c>
    </row>
    <row r="81" spans="1:15" ht="12.75">
      <c r="A81" s="95">
        <f t="shared" si="11"/>
        <v>42696</v>
      </c>
      <c r="B81" s="96">
        <f>IF(DIAS365('CALCULADORA TIPS Pesos E-14'!$E$6,A81)&lt;0,0,DIAS365('CALCULADORA TIPS Pesos E-14'!$E$6,A81))</f>
        <v>728</v>
      </c>
      <c r="C81" s="97">
        <f>+HLOOKUP('CALCULADORA TIPS Pesos E-14'!$E$4,Tablas!$B$1:$B$181,Flujos!J81+1,FALSE)</f>
        <v>0</v>
      </c>
      <c r="D81" s="99">
        <f t="shared" si="13"/>
        <v>0</v>
      </c>
      <c r="E81" s="99">
        <f t="shared" si="14"/>
        <v>0</v>
      </c>
      <c r="F81" s="99">
        <f>ROUND(D80*ROUND(((1+'CALCULADORA TIPS Pesos E-14'!$C$14)^(1/12)-1),6),6)</f>
        <v>0</v>
      </c>
      <c r="G81" s="99">
        <f t="shared" si="15"/>
        <v>0</v>
      </c>
      <c r="H81" s="100">
        <f>IF($B81=0,0,G81/POWER(1+'CALCULADORA TIPS Pesos E-14'!$F$11,Flujos!$B81/365))</f>
        <v>0</v>
      </c>
      <c r="I81" s="101">
        <f t="shared" si="12"/>
        <v>42696</v>
      </c>
      <c r="J81" s="65">
        <v>79</v>
      </c>
      <c r="K81" s="102">
        <f t="shared" si="16"/>
        <v>2404</v>
      </c>
      <c r="L81" s="106">
        <f t="shared" si="17"/>
        <v>1.621246337890625E-05</v>
      </c>
      <c r="M81" s="103">
        <f t="shared" si="18"/>
        <v>0</v>
      </c>
      <c r="N81" s="103">
        <f t="shared" si="19"/>
        <v>8.389949798583984E-08</v>
      </c>
      <c r="O81" s="104">
        <f t="shared" si="20"/>
        <v>8.389949798583984E-08</v>
      </c>
    </row>
    <row r="82" spans="1:15" ht="12.75">
      <c r="A82" s="95">
        <f t="shared" si="11"/>
        <v>42726</v>
      </c>
      <c r="B82" s="96">
        <f>IF(DIAS365('CALCULADORA TIPS Pesos E-14'!$E$6,A82)&lt;0,0,DIAS365('CALCULADORA TIPS Pesos E-14'!$E$6,A82))</f>
        <v>758</v>
      </c>
      <c r="C82" s="97">
        <f>+HLOOKUP('CALCULADORA TIPS Pesos E-14'!$E$4,Tablas!$B$1:$B$181,Flujos!J82+1,FALSE)</f>
        <v>0</v>
      </c>
      <c r="D82" s="98">
        <f t="shared" si="13"/>
        <v>0</v>
      </c>
      <c r="E82" s="99">
        <f t="shared" si="14"/>
        <v>0</v>
      </c>
      <c r="F82" s="99">
        <f>ROUND(D81*ROUND(((1+'CALCULADORA TIPS Pesos E-14'!$C$14)^(1/12)-1),6),6)</f>
        <v>0</v>
      </c>
      <c r="G82" s="99">
        <f t="shared" si="15"/>
        <v>0</v>
      </c>
      <c r="H82" s="100">
        <f>IF($B82=0,0,G82/POWER(1+'CALCULADORA TIPS Pesos E-14'!$F$11,Flujos!$B82/365))</f>
        <v>0</v>
      </c>
      <c r="I82" s="101">
        <f t="shared" si="12"/>
        <v>42726</v>
      </c>
      <c r="J82" s="65">
        <v>80</v>
      </c>
      <c r="K82" s="102">
        <f t="shared" si="16"/>
        <v>2434</v>
      </c>
      <c r="L82" s="106">
        <f t="shared" si="17"/>
        <v>1.621246337890625E-05</v>
      </c>
      <c r="M82" s="103">
        <f t="shared" si="18"/>
        <v>0</v>
      </c>
      <c r="N82" s="103">
        <f t="shared" si="19"/>
        <v>8.389949798583984E-08</v>
      </c>
      <c r="O82" s="104">
        <f t="shared" si="20"/>
        <v>8.389949798583984E-08</v>
      </c>
    </row>
    <row r="83" spans="1:15" ht="12.75">
      <c r="A83" s="95">
        <f t="shared" si="11"/>
        <v>42757</v>
      </c>
      <c r="B83" s="96">
        <f>IF(DIAS365('CALCULADORA TIPS Pesos E-14'!$E$6,A83)&lt;0,0,DIAS365('CALCULADORA TIPS Pesos E-14'!$E$6,A83))</f>
        <v>789</v>
      </c>
      <c r="C83" s="97">
        <f>+HLOOKUP('CALCULADORA TIPS Pesos E-14'!$E$4,Tablas!$B$1:$B$181,Flujos!J83+1,FALSE)</f>
        <v>0</v>
      </c>
      <c r="D83" s="98">
        <f t="shared" si="13"/>
        <v>0</v>
      </c>
      <c r="E83" s="99">
        <f t="shared" si="14"/>
        <v>0</v>
      </c>
      <c r="F83" s="99">
        <f>ROUND(D82*ROUND(((1+'CALCULADORA TIPS Pesos E-14'!$C$14)^(1/12)-1),6),6)</f>
        <v>0</v>
      </c>
      <c r="G83" s="99">
        <f t="shared" si="15"/>
        <v>0</v>
      </c>
      <c r="H83" s="100">
        <f>IF($B83=0,0,G83/POWER(1+'CALCULADORA TIPS Pesos E-14'!$F$11,Flujos!$B83/365))</f>
        <v>0</v>
      </c>
      <c r="I83" s="101">
        <f t="shared" si="12"/>
        <v>42757</v>
      </c>
      <c r="J83" s="65">
        <v>81</v>
      </c>
      <c r="K83" s="102">
        <f t="shared" si="16"/>
        <v>2465</v>
      </c>
      <c r="L83" s="106">
        <f t="shared" si="17"/>
        <v>1.621246337890625E-05</v>
      </c>
      <c r="M83" s="103">
        <f t="shared" si="18"/>
        <v>0</v>
      </c>
      <c r="N83" s="103">
        <f t="shared" si="19"/>
        <v>8.389949798583984E-08</v>
      </c>
      <c r="O83" s="104">
        <f t="shared" si="20"/>
        <v>8.389949798583984E-08</v>
      </c>
    </row>
    <row r="84" spans="1:15" ht="12.75">
      <c r="A84" s="95">
        <f t="shared" si="11"/>
        <v>42788</v>
      </c>
      <c r="B84" s="96">
        <f>IF(DIAS365('CALCULADORA TIPS Pesos E-14'!$E$6,A84)&lt;0,0,DIAS365('CALCULADORA TIPS Pesos E-14'!$E$6,A84))</f>
        <v>820</v>
      </c>
      <c r="C84" s="97">
        <f>+HLOOKUP('CALCULADORA TIPS Pesos E-14'!$E$4,Tablas!$B$1:$B$181,Flujos!J84+1,FALSE)</f>
        <v>0</v>
      </c>
      <c r="D84" s="98">
        <f t="shared" si="13"/>
        <v>0</v>
      </c>
      <c r="E84" s="99">
        <f t="shared" si="14"/>
        <v>0</v>
      </c>
      <c r="F84" s="99">
        <f>ROUND(D83*ROUND(((1+'CALCULADORA TIPS Pesos E-14'!$C$14)^(1/12)-1),6),6)</f>
        <v>0</v>
      </c>
      <c r="G84" s="99">
        <f t="shared" si="15"/>
        <v>0</v>
      </c>
      <c r="H84" s="100">
        <f>IF($B84=0,0,G84/POWER(1+'CALCULADORA TIPS Pesos E-14'!$F$11,Flujos!$B84/365))</f>
        <v>0</v>
      </c>
      <c r="I84" s="101">
        <f t="shared" si="12"/>
        <v>42788</v>
      </c>
      <c r="J84" s="65">
        <v>82</v>
      </c>
      <c r="K84" s="102">
        <f t="shared" si="16"/>
        <v>2496</v>
      </c>
      <c r="L84" s="106">
        <f t="shared" si="17"/>
        <v>1.621246337890625E-05</v>
      </c>
      <c r="M84" s="103">
        <f t="shared" si="18"/>
        <v>0</v>
      </c>
      <c r="N84" s="103">
        <f t="shared" si="19"/>
        <v>8.389949798583984E-08</v>
      </c>
      <c r="O84" s="104">
        <f t="shared" si="20"/>
        <v>8.389949798583984E-08</v>
      </c>
    </row>
    <row r="85" spans="1:15" ht="12.75">
      <c r="A85" s="95">
        <f t="shared" si="11"/>
        <v>42816</v>
      </c>
      <c r="B85" s="96">
        <f>IF(DIAS365('CALCULADORA TIPS Pesos E-14'!$E$6,A85)&lt;0,0,DIAS365('CALCULADORA TIPS Pesos E-14'!$E$6,A85))</f>
        <v>848</v>
      </c>
      <c r="C85" s="97">
        <f>+HLOOKUP('CALCULADORA TIPS Pesos E-14'!$E$4,Tablas!$B$1:$B$181,Flujos!J85+1,FALSE)</f>
        <v>0</v>
      </c>
      <c r="D85" s="98">
        <f t="shared" si="13"/>
        <v>0</v>
      </c>
      <c r="E85" s="99">
        <f t="shared" si="14"/>
        <v>0</v>
      </c>
      <c r="F85" s="99">
        <f>ROUND(D84*ROUND(((1+'CALCULADORA TIPS Pesos E-14'!$C$14)^(1/12)-1),6),6)</f>
        <v>0</v>
      </c>
      <c r="G85" s="99">
        <f t="shared" si="15"/>
        <v>0</v>
      </c>
      <c r="H85" s="100">
        <f>IF($B85=0,0,G85/POWER(1+'CALCULADORA TIPS Pesos E-14'!$F$11,Flujos!$B85/365))</f>
        <v>0</v>
      </c>
      <c r="I85" s="101">
        <f t="shared" si="12"/>
        <v>42816</v>
      </c>
      <c r="J85" s="65">
        <v>83</v>
      </c>
      <c r="K85" s="102">
        <f t="shared" si="16"/>
        <v>2524</v>
      </c>
      <c r="L85" s="106">
        <f t="shared" si="17"/>
        <v>1.621246337890625E-05</v>
      </c>
      <c r="M85" s="103">
        <f t="shared" si="18"/>
        <v>0</v>
      </c>
      <c r="N85" s="103">
        <f t="shared" si="19"/>
        <v>8.389949798583984E-08</v>
      </c>
      <c r="O85" s="104">
        <f t="shared" si="20"/>
        <v>8.389949798583984E-08</v>
      </c>
    </row>
    <row r="86" spans="1:15" ht="12.75">
      <c r="A86" s="95">
        <f t="shared" si="11"/>
        <v>42847</v>
      </c>
      <c r="B86" s="96">
        <f>IF(DIAS365('CALCULADORA TIPS Pesos E-14'!$E$6,A86)&lt;0,0,DIAS365('CALCULADORA TIPS Pesos E-14'!$E$6,A86))</f>
        <v>879</v>
      </c>
      <c r="C86" s="97">
        <f>+HLOOKUP('CALCULADORA TIPS Pesos E-14'!$E$4,Tablas!$B$1:$B$181,Flujos!J86+1,FALSE)</f>
        <v>0</v>
      </c>
      <c r="D86" s="98">
        <f t="shared" si="13"/>
        <v>0</v>
      </c>
      <c r="E86" s="99">
        <f t="shared" si="14"/>
        <v>0</v>
      </c>
      <c r="F86" s="99">
        <f>ROUND(D85*ROUND(((1+'CALCULADORA TIPS Pesos E-14'!$C$14)^(1/12)-1),6),6)</f>
        <v>0</v>
      </c>
      <c r="G86" s="99">
        <f t="shared" si="15"/>
        <v>0</v>
      </c>
      <c r="H86" s="100">
        <f>IF($B86=0,0,G86/POWER(1+'CALCULADORA TIPS Pesos E-14'!$F$11,Flujos!$B86/365))</f>
        <v>0</v>
      </c>
      <c r="I86" s="101">
        <f t="shared" si="12"/>
        <v>42847</v>
      </c>
      <c r="J86" s="65">
        <v>84</v>
      </c>
      <c r="K86" s="102">
        <f t="shared" si="16"/>
        <v>2555</v>
      </c>
      <c r="L86" s="106">
        <f t="shared" si="17"/>
        <v>1.621246337890625E-05</v>
      </c>
      <c r="M86" s="103">
        <f t="shared" si="18"/>
        <v>0</v>
      </c>
      <c r="N86" s="103">
        <f t="shared" si="19"/>
        <v>8.389949798583984E-08</v>
      </c>
      <c r="O86" s="104">
        <f t="shared" si="20"/>
        <v>8.389949798583984E-08</v>
      </c>
    </row>
    <row r="87" spans="1:15" ht="12.75">
      <c r="A87" s="95">
        <f t="shared" si="11"/>
        <v>42877</v>
      </c>
      <c r="B87" s="96">
        <f>IF(DIAS365('CALCULADORA TIPS Pesos E-14'!$E$6,A87)&lt;0,0,DIAS365('CALCULADORA TIPS Pesos E-14'!$E$6,A87))</f>
        <v>909</v>
      </c>
      <c r="C87" s="97">
        <f>+HLOOKUP('CALCULADORA TIPS Pesos E-14'!$E$4,Tablas!$B$1:$B$181,Flujos!J87+1,FALSE)</f>
        <v>0</v>
      </c>
      <c r="D87" s="98">
        <f t="shared" si="13"/>
        <v>0</v>
      </c>
      <c r="E87" s="99">
        <f t="shared" si="14"/>
        <v>0</v>
      </c>
      <c r="F87" s="99">
        <f>ROUND(D86*ROUND(((1+'CALCULADORA TIPS Pesos E-14'!$C$14)^(1/12)-1),6),6)</f>
        <v>0</v>
      </c>
      <c r="G87" s="99">
        <f t="shared" si="15"/>
        <v>0</v>
      </c>
      <c r="H87" s="100">
        <f>IF($B87=0,0,G87/POWER(1+'CALCULADORA TIPS Pesos E-14'!$F$11,Flujos!$B87/365))</f>
        <v>0</v>
      </c>
      <c r="I87" s="101">
        <f t="shared" si="12"/>
        <v>42877</v>
      </c>
      <c r="J87" s="65">
        <v>85</v>
      </c>
      <c r="K87" s="102">
        <f t="shared" si="16"/>
        <v>2585</v>
      </c>
      <c r="L87" s="106">
        <f t="shared" si="17"/>
        <v>1.621246337890625E-05</v>
      </c>
      <c r="M87" s="103">
        <f t="shared" si="18"/>
        <v>0</v>
      </c>
      <c r="N87" s="103">
        <f t="shared" si="19"/>
        <v>8.389949798583984E-08</v>
      </c>
      <c r="O87" s="104">
        <f t="shared" si="20"/>
        <v>8.389949798583984E-08</v>
      </c>
    </row>
    <row r="88" spans="1:15" ht="12.75">
      <c r="A88" s="95">
        <f t="shared" si="11"/>
        <v>42908</v>
      </c>
      <c r="B88" s="96">
        <f>IF(DIAS365('CALCULADORA TIPS Pesos E-14'!$E$6,A88)&lt;0,0,DIAS365('CALCULADORA TIPS Pesos E-14'!$E$6,A88))</f>
        <v>940</v>
      </c>
      <c r="C88" s="97">
        <f>+HLOOKUP('CALCULADORA TIPS Pesos E-14'!$E$4,Tablas!$B$1:$B$181,Flujos!J88+1,FALSE)</f>
        <v>0</v>
      </c>
      <c r="D88" s="98">
        <f t="shared" si="13"/>
        <v>0</v>
      </c>
      <c r="E88" s="99">
        <f t="shared" si="14"/>
        <v>0</v>
      </c>
      <c r="F88" s="99">
        <f>ROUND(D87*ROUND(((1+'CALCULADORA TIPS Pesos E-14'!$C$14)^(1/12)-1),6),6)</f>
        <v>0</v>
      </c>
      <c r="G88" s="99">
        <f t="shared" si="15"/>
        <v>0</v>
      </c>
      <c r="H88" s="100">
        <f>IF($B88=0,0,G88/POWER(1+'CALCULADORA TIPS Pesos E-14'!$F$11,Flujos!$B88/365))</f>
        <v>0</v>
      </c>
      <c r="I88" s="101">
        <f t="shared" si="12"/>
        <v>42908</v>
      </c>
      <c r="J88" s="65">
        <v>86</v>
      </c>
      <c r="K88" s="102">
        <f t="shared" si="16"/>
        <v>2616</v>
      </c>
      <c r="L88" s="106">
        <f t="shared" si="17"/>
        <v>1.621246337890625E-05</v>
      </c>
      <c r="M88" s="103">
        <f t="shared" si="18"/>
        <v>0</v>
      </c>
      <c r="N88" s="103">
        <f t="shared" si="19"/>
        <v>8.389949798583984E-08</v>
      </c>
      <c r="O88" s="104">
        <f t="shared" si="20"/>
        <v>8.389949798583984E-08</v>
      </c>
    </row>
    <row r="89" spans="1:15" ht="12.75">
      <c r="A89" s="95">
        <f t="shared" si="11"/>
        <v>42938</v>
      </c>
      <c r="B89" s="96">
        <f>IF(DIAS365('CALCULADORA TIPS Pesos E-14'!$E$6,A89)&lt;0,0,DIAS365('CALCULADORA TIPS Pesos E-14'!$E$6,A89))</f>
        <v>970</v>
      </c>
      <c r="C89" s="97">
        <f>+HLOOKUP('CALCULADORA TIPS Pesos E-14'!$E$4,Tablas!$B$1:$B$181,Flujos!J89+1,FALSE)</f>
        <v>0</v>
      </c>
      <c r="D89" s="98">
        <f t="shared" si="13"/>
        <v>0</v>
      </c>
      <c r="E89" s="99">
        <f t="shared" si="14"/>
        <v>0</v>
      </c>
      <c r="F89" s="99">
        <f>ROUND(D88*ROUND(((1+'CALCULADORA TIPS Pesos E-14'!$C$14)^(1/12)-1),6),6)</f>
        <v>0</v>
      </c>
      <c r="G89" s="99">
        <f t="shared" si="15"/>
        <v>0</v>
      </c>
      <c r="H89" s="100">
        <f>IF($B89=0,0,G89/POWER(1+'CALCULADORA TIPS Pesos E-14'!$F$11,Flujos!$B89/365))</f>
        <v>0</v>
      </c>
      <c r="I89" s="101">
        <f t="shared" si="12"/>
        <v>42938</v>
      </c>
      <c r="J89" s="65">
        <v>87</v>
      </c>
      <c r="K89" s="102">
        <f t="shared" si="16"/>
        <v>2646</v>
      </c>
      <c r="L89" s="106">
        <f t="shared" si="17"/>
        <v>1.621246337890625E-05</v>
      </c>
      <c r="M89" s="103">
        <f t="shared" si="18"/>
        <v>0</v>
      </c>
      <c r="N89" s="103">
        <f t="shared" si="19"/>
        <v>8.389949798583984E-08</v>
      </c>
      <c r="O89" s="104">
        <f t="shared" si="20"/>
        <v>8.389949798583984E-08</v>
      </c>
    </row>
    <row r="90" spans="1:15" ht="12.75">
      <c r="A90" s="95">
        <f t="shared" si="11"/>
        <v>42969</v>
      </c>
      <c r="B90" s="96">
        <f>IF(DIAS365('CALCULADORA TIPS Pesos E-14'!$E$6,A90)&lt;0,0,DIAS365('CALCULADORA TIPS Pesos E-14'!$E$6,A90))</f>
        <v>1001</v>
      </c>
      <c r="C90" s="97">
        <f>+HLOOKUP('CALCULADORA TIPS Pesos E-14'!$E$4,Tablas!$B$1:$B$181,Flujos!J90+1,FALSE)</f>
        <v>0</v>
      </c>
      <c r="D90" s="98">
        <f t="shared" si="13"/>
        <v>0</v>
      </c>
      <c r="E90" s="99">
        <f t="shared" si="14"/>
        <v>0</v>
      </c>
      <c r="F90" s="99">
        <f>ROUND(D89*ROUND(((1+'CALCULADORA TIPS Pesos E-14'!$C$14)^(1/12)-1),6),6)</f>
        <v>0</v>
      </c>
      <c r="G90" s="99">
        <f t="shared" si="15"/>
        <v>0</v>
      </c>
      <c r="H90" s="100">
        <f>IF($B90=0,0,G90/POWER(1+'CALCULADORA TIPS Pesos E-14'!$F$11,Flujos!$B90/365))</f>
        <v>0</v>
      </c>
      <c r="I90" s="101">
        <f t="shared" si="12"/>
        <v>42969</v>
      </c>
      <c r="J90" s="65">
        <v>88</v>
      </c>
      <c r="K90" s="102">
        <f t="shared" si="16"/>
        <v>2677</v>
      </c>
      <c r="L90" s="106">
        <f t="shared" si="17"/>
        <v>1.621246337890625E-05</v>
      </c>
      <c r="M90" s="103">
        <f t="shared" si="18"/>
        <v>0</v>
      </c>
      <c r="N90" s="103">
        <f t="shared" si="19"/>
        <v>8.389949798583984E-08</v>
      </c>
      <c r="O90" s="104">
        <f t="shared" si="20"/>
        <v>8.389949798583984E-08</v>
      </c>
    </row>
    <row r="91" spans="1:15" ht="12.75">
      <c r="A91" s="95">
        <f t="shared" si="11"/>
        <v>43000</v>
      </c>
      <c r="B91" s="96">
        <f>IF(DIAS365('CALCULADORA TIPS Pesos E-14'!$E$6,A91)&lt;0,0,DIAS365('CALCULADORA TIPS Pesos E-14'!$E$6,A91))</f>
        <v>1032</v>
      </c>
      <c r="C91" s="97">
        <f>+HLOOKUP('CALCULADORA TIPS Pesos E-14'!$E$4,Tablas!$B$1:$B$181,Flujos!J91+1,FALSE)</f>
        <v>0</v>
      </c>
      <c r="D91" s="98">
        <f t="shared" si="13"/>
        <v>0</v>
      </c>
      <c r="E91" s="99">
        <f t="shared" si="14"/>
        <v>0</v>
      </c>
      <c r="F91" s="99">
        <f>ROUND(D90*ROUND(((1+'CALCULADORA TIPS Pesos E-14'!$C$14)^(1/12)-1),6),6)</f>
        <v>0</v>
      </c>
      <c r="G91" s="99">
        <f t="shared" si="15"/>
        <v>0</v>
      </c>
      <c r="H91" s="100">
        <f>IF($B91=0,0,G91/POWER(1+'CALCULADORA TIPS Pesos E-14'!$F$11,Flujos!$B91/365))</f>
        <v>0</v>
      </c>
      <c r="I91" s="101">
        <f t="shared" si="12"/>
        <v>43000</v>
      </c>
      <c r="J91" s="65">
        <v>89</v>
      </c>
      <c r="K91" s="102">
        <f t="shared" si="16"/>
        <v>2708</v>
      </c>
      <c r="L91" s="106">
        <f t="shared" si="17"/>
        <v>1.621246337890625E-05</v>
      </c>
      <c r="M91" s="103">
        <f t="shared" si="18"/>
        <v>0</v>
      </c>
      <c r="N91" s="103">
        <f t="shared" si="19"/>
        <v>8.389949798583984E-08</v>
      </c>
      <c r="O91" s="104">
        <f t="shared" si="20"/>
        <v>8.389949798583984E-08</v>
      </c>
    </row>
    <row r="92" spans="1:15" ht="12.75">
      <c r="A92" s="95">
        <f t="shared" si="11"/>
        <v>43030</v>
      </c>
      <c r="B92" s="96">
        <f>IF(DIAS365('CALCULADORA TIPS Pesos E-14'!$E$6,A92)&lt;0,0,DIAS365('CALCULADORA TIPS Pesos E-14'!$E$6,A92))</f>
        <v>1062</v>
      </c>
      <c r="C92" s="97">
        <f>+HLOOKUP('CALCULADORA TIPS Pesos E-14'!$E$4,Tablas!$B$1:$B$181,Flujos!J92+1,FALSE)</f>
        <v>0</v>
      </c>
      <c r="D92" s="98">
        <f t="shared" si="13"/>
        <v>0</v>
      </c>
      <c r="E92" s="99">
        <f t="shared" si="14"/>
        <v>0</v>
      </c>
      <c r="F92" s="99">
        <f>ROUND(D91*ROUND(((1+'CALCULADORA TIPS Pesos E-14'!$C$14)^(1/12)-1),6),6)</f>
        <v>0</v>
      </c>
      <c r="G92" s="99">
        <f t="shared" si="15"/>
        <v>0</v>
      </c>
      <c r="H92" s="100">
        <f>IF($B92=0,0,G92/POWER(1+'CALCULADORA TIPS Pesos E-14'!$F$11,Flujos!$B92/365))</f>
        <v>0</v>
      </c>
      <c r="I92" s="101">
        <f t="shared" si="12"/>
        <v>43030</v>
      </c>
      <c r="J92" s="65">
        <v>90</v>
      </c>
      <c r="K92" s="102">
        <f t="shared" si="16"/>
        <v>2738</v>
      </c>
      <c r="L92" s="106">
        <f t="shared" si="17"/>
        <v>1.621246337890625E-05</v>
      </c>
      <c r="M92" s="103">
        <f t="shared" si="18"/>
        <v>0</v>
      </c>
      <c r="N92" s="103">
        <f t="shared" si="19"/>
        <v>8.389949798583984E-08</v>
      </c>
      <c r="O92" s="104">
        <f t="shared" si="20"/>
        <v>8.389949798583984E-08</v>
      </c>
    </row>
    <row r="93" spans="1:15" ht="12.75">
      <c r="A93" s="95">
        <f t="shared" si="11"/>
        <v>43061</v>
      </c>
      <c r="B93" s="96">
        <f>IF(DIAS365('CALCULADORA TIPS Pesos E-14'!$E$6,A93)&lt;0,0,DIAS365('CALCULADORA TIPS Pesos E-14'!$E$6,A93))</f>
        <v>1093</v>
      </c>
      <c r="C93" s="97">
        <f>+HLOOKUP('CALCULADORA TIPS Pesos E-14'!$E$4,Tablas!$B$1:$B$181,Flujos!J93+1,FALSE)</f>
        <v>0</v>
      </c>
      <c r="D93" s="98">
        <f t="shared" si="13"/>
        <v>0</v>
      </c>
      <c r="E93" s="99">
        <f t="shared" si="14"/>
        <v>0</v>
      </c>
      <c r="F93" s="99">
        <f>ROUND(D92*ROUND(((1+'CALCULADORA TIPS Pesos E-14'!$C$14)^(1/12)-1),6),6)</f>
        <v>0</v>
      </c>
      <c r="G93" s="99">
        <f t="shared" si="15"/>
        <v>0</v>
      </c>
      <c r="H93" s="100">
        <f>IF($B93=0,0,G93/POWER(1+'CALCULADORA TIPS Pesos E-14'!$F$11,Flujos!$B93/365))</f>
        <v>0</v>
      </c>
      <c r="I93" s="101">
        <f t="shared" si="12"/>
        <v>43061</v>
      </c>
      <c r="J93" s="65">
        <v>91</v>
      </c>
      <c r="K93" s="102">
        <f t="shared" si="16"/>
        <v>2769</v>
      </c>
      <c r="L93" s="106">
        <f t="shared" si="17"/>
        <v>1.621246337890625E-05</v>
      </c>
      <c r="M93" s="103">
        <f t="shared" si="18"/>
        <v>0</v>
      </c>
      <c r="N93" s="103">
        <f t="shared" si="19"/>
        <v>8.389949798583984E-08</v>
      </c>
      <c r="O93" s="104">
        <f t="shared" si="20"/>
        <v>8.389949798583984E-08</v>
      </c>
    </row>
    <row r="94" spans="1:15" ht="12.75">
      <c r="A94" s="95">
        <f t="shared" si="11"/>
        <v>43091</v>
      </c>
      <c r="B94" s="96">
        <f>IF(DIAS365('CALCULADORA TIPS Pesos E-14'!$E$6,A94)&lt;0,0,DIAS365('CALCULADORA TIPS Pesos E-14'!$E$6,A94))</f>
        <v>1123</v>
      </c>
      <c r="C94" s="97">
        <f>+HLOOKUP('CALCULADORA TIPS Pesos E-14'!$E$4,Tablas!$B$1:$B$181,Flujos!J94+1,FALSE)</f>
        <v>0</v>
      </c>
      <c r="D94" s="98">
        <f t="shared" si="13"/>
        <v>0</v>
      </c>
      <c r="E94" s="99">
        <f t="shared" si="14"/>
        <v>0</v>
      </c>
      <c r="F94" s="99">
        <f>ROUND(D93*ROUND(((1+'CALCULADORA TIPS Pesos E-14'!$C$14)^(1/12)-1),6),6)</f>
        <v>0</v>
      </c>
      <c r="G94" s="99">
        <f t="shared" si="15"/>
        <v>0</v>
      </c>
      <c r="H94" s="100">
        <f>IF($B94=0,0,G94/POWER(1+'CALCULADORA TIPS Pesos E-14'!$F$11,Flujos!$B94/365))</f>
        <v>0</v>
      </c>
      <c r="I94" s="101">
        <f t="shared" si="12"/>
        <v>43091</v>
      </c>
      <c r="J94" s="65">
        <v>92</v>
      </c>
      <c r="K94" s="102">
        <f t="shared" si="16"/>
        <v>2799</v>
      </c>
      <c r="L94" s="106">
        <f t="shared" si="17"/>
        <v>1.621246337890625E-05</v>
      </c>
      <c r="M94" s="103">
        <f t="shared" si="18"/>
        <v>0</v>
      </c>
      <c r="N94" s="103">
        <f t="shared" si="19"/>
        <v>8.389949798583984E-08</v>
      </c>
      <c r="O94" s="104">
        <f t="shared" si="20"/>
        <v>8.389949798583984E-08</v>
      </c>
    </row>
    <row r="95" spans="1:15" ht="12.75">
      <c r="A95" s="95">
        <f t="shared" si="11"/>
        <v>43122</v>
      </c>
      <c r="B95" s="96">
        <f>IF(DIAS365('CALCULADORA TIPS Pesos E-14'!$E$6,A95)&lt;0,0,DIAS365('CALCULADORA TIPS Pesos E-14'!$E$6,A95))</f>
        <v>1154</v>
      </c>
      <c r="C95" s="97">
        <f>+HLOOKUP('CALCULADORA TIPS Pesos E-14'!$E$4,Tablas!$B$1:$B$181,Flujos!J95+1,FALSE)</f>
        <v>0</v>
      </c>
      <c r="D95" s="98">
        <f t="shared" si="13"/>
        <v>0</v>
      </c>
      <c r="E95" s="99">
        <f t="shared" si="14"/>
        <v>0</v>
      </c>
      <c r="F95" s="99">
        <f>ROUND(D94*ROUND(((1+'CALCULADORA TIPS Pesos E-14'!$C$14)^(1/12)-1),6),6)</f>
        <v>0</v>
      </c>
      <c r="G95" s="99">
        <f t="shared" si="15"/>
        <v>0</v>
      </c>
      <c r="H95" s="100">
        <f>IF($B95=0,0,G95/POWER(1+'CALCULADORA TIPS Pesos E-14'!$F$11,Flujos!$B95/365))</f>
        <v>0</v>
      </c>
      <c r="I95" s="101">
        <f t="shared" si="12"/>
        <v>43122</v>
      </c>
      <c r="J95" s="65">
        <v>93</v>
      </c>
      <c r="K95" s="102">
        <f t="shared" si="16"/>
        <v>2830</v>
      </c>
      <c r="L95" s="106">
        <f t="shared" si="17"/>
        <v>1.621246337890625E-05</v>
      </c>
      <c r="M95" s="103">
        <f t="shared" si="18"/>
        <v>0</v>
      </c>
      <c r="N95" s="103">
        <f t="shared" si="19"/>
        <v>8.389949798583984E-08</v>
      </c>
      <c r="O95" s="104">
        <f t="shared" si="20"/>
        <v>8.389949798583984E-08</v>
      </c>
    </row>
    <row r="96" spans="1:15" ht="12.75">
      <c r="A96" s="95">
        <f t="shared" si="11"/>
        <v>43153</v>
      </c>
      <c r="B96" s="96">
        <f>IF(DIAS365('CALCULADORA TIPS Pesos E-14'!$E$6,A96)&lt;0,0,DIAS365('CALCULADORA TIPS Pesos E-14'!$E$6,A96))</f>
        <v>1185</v>
      </c>
      <c r="C96" s="97">
        <f>+HLOOKUP('CALCULADORA TIPS Pesos E-14'!$E$4,Tablas!$B$1:$B$181,Flujos!J96+1,FALSE)</f>
        <v>0</v>
      </c>
      <c r="D96" s="98">
        <f t="shared" si="13"/>
        <v>0</v>
      </c>
      <c r="E96" s="99">
        <f t="shared" si="14"/>
        <v>0</v>
      </c>
      <c r="F96" s="99">
        <f>ROUND(D95*ROUND(((1+'CALCULADORA TIPS Pesos E-14'!$C$14)^(1/12)-1),6),6)</f>
        <v>0</v>
      </c>
      <c r="G96" s="99">
        <f t="shared" si="15"/>
        <v>0</v>
      </c>
      <c r="H96" s="100">
        <f>IF($B96=0,0,G96/POWER(1+'CALCULADORA TIPS Pesos E-14'!$F$11,Flujos!$B96/365))</f>
        <v>0</v>
      </c>
      <c r="I96" s="101">
        <f t="shared" si="12"/>
        <v>43153</v>
      </c>
      <c r="J96" s="65">
        <v>94</v>
      </c>
      <c r="K96" s="102">
        <f t="shared" si="16"/>
        <v>2861</v>
      </c>
      <c r="L96" s="106">
        <f t="shared" si="17"/>
        <v>1.621246337890625E-05</v>
      </c>
      <c r="M96" s="103">
        <f t="shared" si="18"/>
        <v>0</v>
      </c>
      <c r="N96" s="103">
        <f t="shared" si="19"/>
        <v>8.389949798583984E-08</v>
      </c>
      <c r="O96" s="104">
        <f t="shared" si="20"/>
        <v>8.389949798583984E-08</v>
      </c>
    </row>
    <row r="97" spans="1:15" ht="12.75">
      <c r="A97" s="95">
        <f t="shared" si="11"/>
        <v>43181</v>
      </c>
      <c r="B97" s="96">
        <f>IF(DIAS365('CALCULADORA TIPS Pesos E-14'!$E$6,A97)&lt;0,0,DIAS365('CALCULADORA TIPS Pesos E-14'!$E$6,A97))</f>
        <v>1213</v>
      </c>
      <c r="C97" s="97">
        <f>+HLOOKUP('CALCULADORA TIPS Pesos E-14'!$E$4,Tablas!$B$1:$B$181,Flujos!J97+1,FALSE)</f>
        <v>0</v>
      </c>
      <c r="D97" s="98">
        <f t="shared" si="13"/>
        <v>0</v>
      </c>
      <c r="E97" s="99">
        <f t="shared" si="14"/>
        <v>0</v>
      </c>
      <c r="F97" s="99">
        <f>ROUND(D96*ROUND(((1+'CALCULADORA TIPS Pesos E-14'!$C$14)^(1/12)-1),6),6)</f>
        <v>0</v>
      </c>
      <c r="G97" s="99">
        <f t="shared" si="15"/>
        <v>0</v>
      </c>
      <c r="H97" s="100">
        <f>IF($B97=0,0,G97/POWER(1+'CALCULADORA TIPS Pesos E-14'!$F$11,Flujos!$B97/365))</f>
        <v>0</v>
      </c>
      <c r="I97" s="101">
        <f t="shared" si="12"/>
        <v>43181</v>
      </c>
      <c r="J97" s="65">
        <v>95</v>
      </c>
      <c r="K97" s="102">
        <f t="shared" si="16"/>
        <v>2889</v>
      </c>
      <c r="L97" s="106">
        <f t="shared" si="17"/>
        <v>1.621246337890625E-05</v>
      </c>
      <c r="M97" s="103">
        <f t="shared" si="18"/>
        <v>0</v>
      </c>
      <c r="N97" s="103">
        <f t="shared" si="19"/>
        <v>8.389949798583984E-08</v>
      </c>
      <c r="O97" s="104">
        <f t="shared" si="20"/>
        <v>8.389949798583984E-08</v>
      </c>
    </row>
    <row r="98" spans="1:15" ht="12.75">
      <c r="A98" s="95">
        <f t="shared" si="11"/>
        <v>43212</v>
      </c>
      <c r="B98" s="96">
        <f>IF(DIAS365('CALCULADORA TIPS Pesos E-14'!$E$6,A98)&lt;0,0,DIAS365('CALCULADORA TIPS Pesos E-14'!$E$6,A98))</f>
        <v>1244</v>
      </c>
      <c r="C98" s="97">
        <f>+HLOOKUP('CALCULADORA TIPS Pesos E-14'!$E$4,Tablas!$B$1:$B$181,Flujos!J98+1,FALSE)</f>
        <v>0</v>
      </c>
      <c r="D98" s="98">
        <f t="shared" si="13"/>
        <v>0</v>
      </c>
      <c r="E98" s="99">
        <f t="shared" si="14"/>
        <v>0</v>
      </c>
      <c r="F98" s="99">
        <f>ROUND(D97*ROUND(((1+'CALCULADORA TIPS Pesos E-14'!$C$14)^(1/12)-1),6),6)</f>
        <v>0</v>
      </c>
      <c r="G98" s="99">
        <f t="shared" si="15"/>
        <v>0</v>
      </c>
      <c r="H98" s="100">
        <f>IF($B98=0,0,G98/POWER(1+'CALCULADORA TIPS Pesos E-14'!$F$11,Flujos!$B98/365))</f>
        <v>0</v>
      </c>
      <c r="I98" s="101">
        <f t="shared" si="12"/>
        <v>43212</v>
      </c>
      <c r="J98" s="65">
        <v>96</v>
      </c>
      <c r="K98" s="102">
        <f t="shared" si="16"/>
        <v>2920</v>
      </c>
      <c r="L98" s="106">
        <f t="shared" si="17"/>
        <v>1.621246337890625E-05</v>
      </c>
      <c r="M98" s="103">
        <f t="shared" si="18"/>
        <v>0</v>
      </c>
      <c r="N98" s="103">
        <f t="shared" si="19"/>
        <v>8.389949798583984E-08</v>
      </c>
      <c r="O98" s="104">
        <f t="shared" si="20"/>
        <v>8.389949798583984E-08</v>
      </c>
    </row>
    <row r="99" spans="1:15" ht="12.75">
      <c r="A99" s="95">
        <f aca="true" t="shared" si="21" ref="A99:A130">_XLL.FECHA.MES(A98,1)</f>
        <v>43242</v>
      </c>
      <c r="B99" s="96">
        <f>IF(DIAS365('CALCULADORA TIPS Pesos E-14'!$E$6,A99)&lt;0,0,DIAS365('CALCULADORA TIPS Pesos E-14'!$E$6,A99))</f>
        <v>1274</v>
      </c>
      <c r="C99" s="97">
        <f>+HLOOKUP('CALCULADORA TIPS Pesos E-14'!$E$4,Tablas!$B$1:$B$181,Flujos!J99+1,FALSE)</f>
        <v>0</v>
      </c>
      <c r="D99" s="98">
        <f t="shared" si="13"/>
        <v>0</v>
      </c>
      <c r="E99" s="99">
        <f t="shared" si="14"/>
        <v>0</v>
      </c>
      <c r="F99" s="99">
        <f>ROUND(D98*ROUND(((1+'CALCULADORA TIPS Pesos E-14'!$C$14)^(1/12)-1),6),6)</f>
        <v>0</v>
      </c>
      <c r="G99" s="99">
        <f t="shared" si="15"/>
        <v>0</v>
      </c>
      <c r="H99" s="100">
        <f>IF($B99=0,0,G99/POWER(1+'CALCULADORA TIPS Pesos E-14'!$F$11,Flujos!$B99/365))</f>
        <v>0</v>
      </c>
      <c r="I99" s="101">
        <f t="shared" si="12"/>
        <v>43242</v>
      </c>
      <c r="J99" s="65">
        <v>97</v>
      </c>
      <c r="K99" s="102">
        <f t="shared" si="16"/>
        <v>2950</v>
      </c>
      <c r="L99" s="106">
        <f t="shared" si="17"/>
        <v>1.621246337890625E-05</v>
      </c>
      <c r="M99" s="103">
        <f t="shared" si="18"/>
        <v>0</v>
      </c>
      <c r="N99" s="103">
        <f t="shared" si="19"/>
        <v>8.389949798583984E-08</v>
      </c>
      <c r="O99" s="104">
        <f t="shared" si="20"/>
        <v>8.389949798583984E-08</v>
      </c>
    </row>
    <row r="100" spans="1:15" ht="12.75">
      <c r="A100" s="95">
        <f t="shared" si="21"/>
        <v>43273</v>
      </c>
      <c r="B100" s="96">
        <f>IF(DIAS365('CALCULADORA TIPS Pesos E-14'!$E$6,A100)&lt;0,0,DIAS365('CALCULADORA TIPS Pesos E-14'!$E$6,A100))</f>
        <v>1305</v>
      </c>
      <c r="C100" s="97">
        <f>+HLOOKUP('CALCULADORA TIPS Pesos E-14'!$E$4,Tablas!$B$1:$B$181,Flujos!J100+1,FALSE)</f>
        <v>0</v>
      </c>
      <c r="D100" s="98">
        <f t="shared" si="13"/>
        <v>0</v>
      </c>
      <c r="E100" s="99">
        <f t="shared" si="14"/>
        <v>0</v>
      </c>
      <c r="F100" s="99">
        <f>ROUND(D99*ROUND(((1+'CALCULADORA TIPS Pesos E-14'!$C$14)^(1/12)-1),6),6)</f>
        <v>0</v>
      </c>
      <c r="G100" s="99">
        <f t="shared" si="15"/>
        <v>0</v>
      </c>
      <c r="H100" s="100">
        <f>IF($B100=0,0,G100/POWER(1+'CALCULADORA TIPS Pesos E-14'!$F$11,Flujos!$B100/365))</f>
        <v>0</v>
      </c>
      <c r="I100" s="101">
        <f t="shared" si="12"/>
        <v>43273</v>
      </c>
      <c r="J100" s="65">
        <v>98</v>
      </c>
      <c r="K100" s="102">
        <f t="shared" si="16"/>
        <v>2981</v>
      </c>
      <c r="L100" s="106">
        <f t="shared" si="17"/>
        <v>1.621246337890625E-05</v>
      </c>
      <c r="M100" s="103">
        <f t="shared" si="18"/>
        <v>0</v>
      </c>
      <c r="N100" s="103">
        <f t="shared" si="19"/>
        <v>8.389949798583984E-08</v>
      </c>
      <c r="O100" s="104">
        <f t="shared" si="20"/>
        <v>8.389949798583984E-08</v>
      </c>
    </row>
    <row r="101" spans="1:15" ht="12.75">
      <c r="A101" s="95">
        <f t="shared" si="21"/>
        <v>43303</v>
      </c>
      <c r="B101" s="96">
        <f>IF(DIAS365('CALCULADORA TIPS Pesos E-14'!$E$6,A101)&lt;0,0,DIAS365('CALCULADORA TIPS Pesos E-14'!$E$6,A101))</f>
        <v>1335</v>
      </c>
      <c r="C101" s="97">
        <f>+HLOOKUP('CALCULADORA TIPS Pesos E-14'!$E$4,Tablas!$B$1:$B$181,Flujos!J101+1,FALSE)</f>
        <v>0</v>
      </c>
      <c r="D101" s="98">
        <f t="shared" si="13"/>
        <v>0</v>
      </c>
      <c r="E101" s="99">
        <f t="shared" si="14"/>
        <v>0</v>
      </c>
      <c r="F101" s="99">
        <f>ROUND(D100*ROUND(((1+'CALCULADORA TIPS Pesos E-14'!$C$14)^(1/12)-1),6),6)</f>
        <v>0</v>
      </c>
      <c r="G101" s="99">
        <f t="shared" si="15"/>
        <v>0</v>
      </c>
      <c r="H101" s="100">
        <f>IF($B101=0,0,G101/POWER(1+'CALCULADORA TIPS Pesos E-14'!$F$11,Flujos!$B101/365))</f>
        <v>0</v>
      </c>
      <c r="I101" s="101">
        <f t="shared" si="12"/>
        <v>43303</v>
      </c>
      <c r="J101" s="65">
        <v>99</v>
      </c>
      <c r="K101" s="102">
        <f t="shared" si="16"/>
        <v>3011</v>
      </c>
      <c r="L101" s="106">
        <f t="shared" si="17"/>
        <v>1.621246337890625E-05</v>
      </c>
      <c r="M101" s="103">
        <f t="shared" si="18"/>
        <v>0</v>
      </c>
      <c r="N101" s="103">
        <f t="shared" si="19"/>
        <v>8.389949798583984E-08</v>
      </c>
      <c r="O101" s="104">
        <f t="shared" si="20"/>
        <v>8.389949798583984E-08</v>
      </c>
    </row>
    <row r="102" spans="1:15" ht="12.75">
      <c r="A102" s="95">
        <f t="shared" si="21"/>
        <v>43334</v>
      </c>
      <c r="B102" s="96">
        <f>IF(DIAS365('CALCULADORA TIPS Pesos E-14'!$E$6,A102)&lt;0,0,DIAS365('CALCULADORA TIPS Pesos E-14'!$E$6,A102))</f>
        <v>1366</v>
      </c>
      <c r="C102" s="97">
        <f>+HLOOKUP('CALCULADORA TIPS Pesos E-14'!$E$4,Tablas!$B$1:$B$181,Flujos!J102+1,FALSE)</f>
        <v>0</v>
      </c>
      <c r="D102" s="98">
        <f t="shared" si="13"/>
        <v>0</v>
      </c>
      <c r="E102" s="99">
        <f t="shared" si="14"/>
        <v>0</v>
      </c>
      <c r="F102" s="99">
        <f>ROUND(D101*ROUND(((1+'CALCULADORA TIPS Pesos E-14'!$C$14)^(1/12)-1),6),6)</f>
        <v>0</v>
      </c>
      <c r="G102" s="99">
        <f t="shared" si="15"/>
        <v>0</v>
      </c>
      <c r="H102" s="100">
        <f>IF($B102=0,0,G102/POWER(1+'CALCULADORA TIPS Pesos E-14'!$F$11,Flujos!$B102/365))</f>
        <v>0</v>
      </c>
      <c r="I102" s="101">
        <f t="shared" si="12"/>
        <v>43334</v>
      </c>
      <c r="J102" s="65">
        <v>100</v>
      </c>
      <c r="K102" s="102">
        <f t="shared" si="16"/>
        <v>3042</v>
      </c>
      <c r="L102" s="106">
        <f t="shared" si="17"/>
        <v>1.621246337890625E-05</v>
      </c>
      <c r="M102" s="103">
        <f t="shared" si="18"/>
        <v>0</v>
      </c>
      <c r="N102" s="103">
        <f t="shared" si="19"/>
        <v>8.389949798583984E-08</v>
      </c>
      <c r="O102" s="104">
        <f t="shared" si="20"/>
        <v>8.389949798583984E-08</v>
      </c>
    </row>
    <row r="103" spans="1:15" ht="12.75">
      <c r="A103" s="95">
        <f t="shared" si="21"/>
        <v>43365</v>
      </c>
      <c r="B103" s="96">
        <f>IF(DIAS365('CALCULADORA TIPS Pesos E-14'!$E$6,A103)&lt;0,0,DIAS365('CALCULADORA TIPS Pesos E-14'!$E$6,A103))</f>
        <v>1397</v>
      </c>
      <c r="C103" s="97">
        <f>+HLOOKUP('CALCULADORA TIPS Pesos E-14'!$E$4,Tablas!$B$1:$B$181,Flujos!J103+1,FALSE)</f>
        <v>0</v>
      </c>
      <c r="D103" s="98">
        <f t="shared" si="13"/>
        <v>0</v>
      </c>
      <c r="E103" s="99">
        <f t="shared" si="14"/>
        <v>0</v>
      </c>
      <c r="F103" s="99">
        <f>ROUND(D102*ROUND(((1+'CALCULADORA TIPS Pesos E-14'!$C$14)^(1/12)-1),6),6)</f>
        <v>0</v>
      </c>
      <c r="G103" s="99">
        <f t="shared" si="15"/>
        <v>0</v>
      </c>
      <c r="H103" s="100">
        <f>IF($B103=0,0,G103/POWER(1+'CALCULADORA TIPS Pesos E-14'!$F$11,Flujos!$B103/365))</f>
        <v>0</v>
      </c>
      <c r="I103" s="101">
        <f t="shared" si="12"/>
        <v>43365</v>
      </c>
      <c r="J103" s="65">
        <v>101</v>
      </c>
      <c r="K103" s="102">
        <f t="shared" si="16"/>
        <v>3073</v>
      </c>
      <c r="L103" s="106">
        <f t="shared" si="17"/>
        <v>1.621246337890625E-05</v>
      </c>
      <c r="M103" s="103">
        <f t="shared" si="18"/>
        <v>0</v>
      </c>
      <c r="N103" s="103">
        <f t="shared" si="19"/>
        <v>8.389949798583984E-08</v>
      </c>
      <c r="O103" s="104">
        <f t="shared" si="20"/>
        <v>8.389949798583984E-08</v>
      </c>
    </row>
    <row r="104" spans="1:15" ht="12.75">
      <c r="A104" s="95">
        <f t="shared" si="21"/>
        <v>43395</v>
      </c>
      <c r="B104" s="96">
        <f>IF(DIAS365('CALCULADORA TIPS Pesos E-14'!$E$6,A104)&lt;0,0,DIAS365('CALCULADORA TIPS Pesos E-14'!$E$6,A104))</f>
        <v>1427</v>
      </c>
      <c r="C104" s="97">
        <f>+HLOOKUP('CALCULADORA TIPS Pesos E-14'!$E$4,Tablas!$B$1:$B$181,Flujos!J104+1,FALSE)</f>
        <v>0</v>
      </c>
      <c r="D104" s="98">
        <f t="shared" si="13"/>
        <v>0</v>
      </c>
      <c r="E104" s="99">
        <f t="shared" si="14"/>
        <v>0</v>
      </c>
      <c r="F104" s="99">
        <f>ROUND(D103*ROUND(((1+'CALCULADORA TIPS Pesos E-14'!$C$14)^(1/12)-1),6),6)</f>
        <v>0</v>
      </c>
      <c r="G104" s="99">
        <f t="shared" si="15"/>
        <v>0</v>
      </c>
      <c r="H104" s="100">
        <f>IF($B104=0,0,G104/POWER(1+'CALCULADORA TIPS Pesos E-14'!$F$11,Flujos!$B104/365))</f>
        <v>0</v>
      </c>
      <c r="I104" s="101">
        <f t="shared" si="12"/>
        <v>43395</v>
      </c>
      <c r="J104" s="65">
        <v>102</v>
      </c>
      <c r="K104" s="102">
        <f t="shared" si="16"/>
        <v>3103</v>
      </c>
      <c r="L104" s="106">
        <f t="shared" si="17"/>
        <v>1.621246337890625E-05</v>
      </c>
      <c r="M104" s="103">
        <f t="shared" si="18"/>
        <v>0</v>
      </c>
      <c r="N104" s="103">
        <f t="shared" si="19"/>
        <v>8.389949798583984E-08</v>
      </c>
      <c r="O104" s="104">
        <f t="shared" si="20"/>
        <v>8.389949798583984E-08</v>
      </c>
    </row>
    <row r="105" spans="1:15" ht="12.75">
      <c r="A105" s="95">
        <f t="shared" si="21"/>
        <v>43426</v>
      </c>
      <c r="B105" s="96">
        <f>IF(DIAS365('CALCULADORA TIPS Pesos E-14'!$E$6,A105)&lt;0,0,DIAS365('CALCULADORA TIPS Pesos E-14'!$E$6,A105))</f>
        <v>1458</v>
      </c>
      <c r="C105" s="97">
        <f>+HLOOKUP('CALCULADORA TIPS Pesos E-14'!$E$4,Tablas!$B$1:$B$181,Flujos!J105+1,FALSE)</f>
        <v>0</v>
      </c>
      <c r="D105" s="98">
        <f t="shared" si="13"/>
        <v>0</v>
      </c>
      <c r="E105" s="99">
        <f t="shared" si="14"/>
        <v>0</v>
      </c>
      <c r="F105" s="99">
        <f>ROUND(D104*ROUND(((1+'CALCULADORA TIPS Pesos E-14'!$C$14)^(1/12)-1),6),6)</f>
        <v>0</v>
      </c>
      <c r="G105" s="99">
        <f t="shared" si="15"/>
        <v>0</v>
      </c>
      <c r="H105" s="100">
        <f>IF($B105=0,0,G105/POWER(1+'CALCULADORA TIPS Pesos E-14'!$F$11,Flujos!$B105/365))</f>
        <v>0</v>
      </c>
      <c r="I105" s="101">
        <f t="shared" si="12"/>
        <v>43426</v>
      </c>
      <c r="J105" s="65">
        <v>103</v>
      </c>
      <c r="K105" s="102">
        <f t="shared" si="16"/>
        <v>3134</v>
      </c>
      <c r="L105" s="106">
        <f t="shared" si="17"/>
        <v>1.621246337890625E-05</v>
      </c>
      <c r="M105" s="103">
        <f t="shared" si="18"/>
        <v>0</v>
      </c>
      <c r="N105" s="103">
        <f t="shared" si="19"/>
        <v>8.389949798583984E-08</v>
      </c>
      <c r="O105" s="104">
        <f t="shared" si="20"/>
        <v>8.389949798583984E-08</v>
      </c>
    </row>
    <row r="106" spans="1:15" ht="12.75">
      <c r="A106" s="95">
        <f t="shared" si="21"/>
        <v>43456</v>
      </c>
      <c r="B106" s="96">
        <f>IF(DIAS365('CALCULADORA TIPS Pesos E-14'!$E$6,A106)&lt;0,0,DIAS365('CALCULADORA TIPS Pesos E-14'!$E$6,A106))</f>
        <v>1488</v>
      </c>
      <c r="C106" s="97">
        <f>+HLOOKUP('CALCULADORA TIPS Pesos E-14'!$E$4,Tablas!$B$1:$B$181,Flujos!J106+1,FALSE)</f>
        <v>0</v>
      </c>
      <c r="D106" s="98">
        <f t="shared" si="13"/>
        <v>0</v>
      </c>
      <c r="E106" s="99">
        <f t="shared" si="14"/>
        <v>0</v>
      </c>
      <c r="F106" s="99">
        <f>ROUND(D105*ROUND(((1+'CALCULADORA TIPS Pesos E-14'!$C$14)^(1/12)-1),6),6)</f>
        <v>0</v>
      </c>
      <c r="G106" s="99">
        <f t="shared" si="15"/>
        <v>0</v>
      </c>
      <c r="H106" s="100">
        <f>IF($B106=0,0,G106/POWER(1+'CALCULADORA TIPS Pesos E-14'!$F$11,Flujos!$B106/365))</f>
        <v>0</v>
      </c>
      <c r="I106" s="101">
        <f t="shared" si="12"/>
        <v>43456</v>
      </c>
      <c r="J106" s="65">
        <v>104</v>
      </c>
      <c r="K106" s="102">
        <f t="shared" si="16"/>
        <v>3164</v>
      </c>
      <c r="L106" s="106">
        <f t="shared" si="17"/>
        <v>1.621246337890625E-05</v>
      </c>
      <c r="M106" s="103">
        <f t="shared" si="18"/>
        <v>0</v>
      </c>
      <c r="N106" s="103">
        <f t="shared" si="19"/>
        <v>8.389949798583984E-08</v>
      </c>
      <c r="O106" s="104">
        <f t="shared" si="20"/>
        <v>8.389949798583984E-08</v>
      </c>
    </row>
    <row r="107" spans="1:15" ht="12.75">
      <c r="A107" s="95">
        <f t="shared" si="21"/>
        <v>43487</v>
      </c>
      <c r="B107" s="96">
        <f>IF(DIAS365('CALCULADORA TIPS Pesos E-14'!$E$6,A107)&lt;0,0,DIAS365('CALCULADORA TIPS Pesos E-14'!$E$6,A107))</f>
        <v>1519</v>
      </c>
      <c r="C107" s="97">
        <f>+HLOOKUP('CALCULADORA TIPS Pesos E-14'!$E$4,Tablas!$B$1:$B$181,Flujos!J107+1,FALSE)</f>
        <v>0</v>
      </c>
      <c r="D107" s="98">
        <f t="shared" si="13"/>
        <v>0</v>
      </c>
      <c r="E107" s="99">
        <f t="shared" si="14"/>
        <v>0</v>
      </c>
      <c r="F107" s="99">
        <f>ROUND(D106*ROUND(((1+'CALCULADORA TIPS Pesos E-14'!$C$14)^(1/12)-1),6),6)</f>
        <v>0</v>
      </c>
      <c r="G107" s="99">
        <f t="shared" si="15"/>
        <v>0</v>
      </c>
      <c r="H107" s="100">
        <f>IF($B107=0,0,G107/POWER(1+'CALCULADORA TIPS Pesos E-14'!$F$11,Flujos!$B107/365))</f>
        <v>0</v>
      </c>
      <c r="I107" s="101">
        <f t="shared" si="12"/>
        <v>43487</v>
      </c>
      <c r="J107" s="65">
        <v>105</v>
      </c>
      <c r="K107" s="102">
        <f t="shared" si="16"/>
        <v>3195</v>
      </c>
      <c r="L107" s="106">
        <f t="shared" si="17"/>
        <v>1.621246337890625E-05</v>
      </c>
      <c r="M107" s="103">
        <f t="shared" si="18"/>
        <v>0</v>
      </c>
      <c r="N107" s="103">
        <f t="shared" si="19"/>
        <v>8.389949798583984E-08</v>
      </c>
      <c r="O107" s="104">
        <f t="shared" si="20"/>
        <v>8.389949798583984E-08</v>
      </c>
    </row>
    <row r="108" spans="1:15" ht="12.75">
      <c r="A108" s="95">
        <f t="shared" si="21"/>
        <v>43518</v>
      </c>
      <c r="B108" s="96">
        <f>IF(DIAS365('CALCULADORA TIPS Pesos E-14'!$E$6,A108)&lt;0,0,DIAS365('CALCULADORA TIPS Pesos E-14'!$E$6,A108))</f>
        <v>1550</v>
      </c>
      <c r="C108" s="97">
        <f>+HLOOKUP('CALCULADORA TIPS Pesos E-14'!$E$4,Tablas!$B$1:$B$181,Flujos!J108+1,FALSE)</f>
        <v>0</v>
      </c>
      <c r="D108" s="98">
        <f t="shared" si="13"/>
        <v>0</v>
      </c>
      <c r="E108" s="99">
        <f t="shared" si="14"/>
        <v>0</v>
      </c>
      <c r="F108" s="99">
        <f>ROUND(D107*ROUND(((1+'CALCULADORA TIPS Pesos E-14'!$C$14)^(1/12)-1),6),6)</f>
        <v>0</v>
      </c>
      <c r="G108" s="99">
        <f t="shared" si="15"/>
        <v>0</v>
      </c>
      <c r="H108" s="100">
        <f>IF($B108=0,0,G108/POWER(1+'CALCULADORA TIPS Pesos E-14'!$F$11,Flujos!$B108/365))</f>
        <v>0</v>
      </c>
      <c r="I108" s="101">
        <f t="shared" si="12"/>
        <v>43518</v>
      </c>
      <c r="J108" s="65">
        <v>106</v>
      </c>
      <c r="K108" s="102">
        <f t="shared" si="16"/>
        <v>3226</v>
      </c>
      <c r="L108" s="106">
        <f t="shared" si="17"/>
        <v>1.621246337890625E-05</v>
      </c>
      <c r="M108" s="103">
        <f t="shared" si="18"/>
        <v>0</v>
      </c>
      <c r="N108" s="103">
        <f t="shared" si="19"/>
        <v>8.389949798583984E-08</v>
      </c>
      <c r="O108" s="104">
        <f t="shared" si="20"/>
        <v>8.389949798583984E-08</v>
      </c>
    </row>
    <row r="109" spans="1:15" ht="12.75">
      <c r="A109" s="95">
        <f t="shared" si="21"/>
        <v>43546</v>
      </c>
      <c r="B109" s="96">
        <f>IF(DIAS365('CALCULADORA TIPS Pesos E-14'!$E$6,A109)&lt;0,0,DIAS365('CALCULADORA TIPS Pesos E-14'!$E$6,A109))</f>
        <v>1578</v>
      </c>
      <c r="C109" s="97">
        <f>+HLOOKUP('CALCULADORA TIPS Pesos E-14'!$E$4,Tablas!$B$1:$B$181,Flujos!J109+1,FALSE)</f>
        <v>0</v>
      </c>
      <c r="D109" s="98">
        <f t="shared" si="13"/>
        <v>0</v>
      </c>
      <c r="E109" s="99">
        <f t="shared" si="14"/>
        <v>0</v>
      </c>
      <c r="F109" s="99">
        <f>ROUND(D108*ROUND(((1+'CALCULADORA TIPS Pesos E-14'!$C$14)^(1/12)-1),6),6)</f>
        <v>0</v>
      </c>
      <c r="G109" s="99">
        <f t="shared" si="15"/>
        <v>0</v>
      </c>
      <c r="H109" s="100">
        <f>IF($B109=0,0,G109/POWER(1+'CALCULADORA TIPS Pesos E-14'!$F$11,Flujos!$B109/365))</f>
        <v>0</v>
      </c>
      <c r="I109" s="101">
        <f t="shared" si="12"/>
        <v>43546</v>
      </c>
      <c r="J109" s="65">
        <v>107</v>
      </c>
      <c r="K109" s="102">
        <f t="shared" si="16"/>
        <v>3254</v>
      </c>
      <c r="L109" s="106">
        <f t="shared" si="17"/>
        <v>1.621246337890625E-05</v>
      </c>
      <c r="M109" s="103">
        <f t="shared" si="18"/>
        <v>0</v>
      </c>
      <c r="N109" s="103">
        <f t="shared" si="19"/>
        <v>8.389949798583984E-08</v>
      </c>
      <c r="O109" s="104">
        <f t="shared" si="20"/>
        <v>8.389949798583984E-08</v>
      </c>
    </row>
    <row r="110" spans="1:15" ht="12.75">
      <c r="A110" s="95">
        <f t="shared" si="21"/>
        <v>43577</v>
      </c>
      <c r="B110" s="96">
        <f>IF(DIAS365('CALCULADORA TIPS Pesos E-14'!$E$6,A110)&lt;0,0,DIAS365('CALCULADORA TIPS Pesos E-14'!$E$6,A110))</f>
        <v>1609</v>
      </c>
      <c r="C110" s="97">
        <f>+HLOOKUP('CALCULADORA TIPS Pesos E-14'!$E$4,Tablas!$B$1:$B$181,Flujos!J110+1,FALSE)</f>
        <v>0</v>
      </c>
      <c r="D110" s="98">
        <f t="shared" si="13"/>
        <v>0</v>
      </c>
      <c r="E110" s="99">
        <f t="shared" si="14"/>
        <v>0</v>
      </c>
      <c r="F110" s="99">
        <f>ROUND(D109*ROUND(((1+'CALCULADORA TIPS Pesos E-14'!$C$14)^(1/12)-1),6),6)</f>
        <v>0</v>
      </c>
      <c r="G110" s="99">
        <f t="shared" si="15"/>
        <v>0</v>
      </c>
      <c r="H110" s="100">
        <f>IF($B110=0,0,G110/POWER(1+'CALCULADORA TIPS Pesos E-14'!$F$11,Flujos!$B110/365))</f>
        <v>0</v>
      </c>
      <c r="I110" s="101">
        <f t="shared" si="12"/>
        <v>43577</v>
      </c>
      <c r="J110" s="65">
        <v>108</v>
      </c>
      <c r="K110" s="102">
        <f t="shared" si="16"/>
        <v>3285</v>
      </c>
      <c r="L110" s="106">
        <f t="shared" si="17"/>
        <v>1.621246337890625E-05</v>
      </c>
      <c r="M110" s="103">
        <f t="shared" si="18"/>
        <v>0</v>
      </c>
      <c r="N110" s="103">
        <f t="shared" si="19"/>
        <v>8.389949798583984E-08</v>
      </c>
      <c r="O110" s="104">
        <f t="shared" si="20"/>
        <v>8.389949798583984E-08</v>
      </c>
    </row>
    <row r="111" spans="1:15" ht="12.75">
      <c r="A111" s="95">
        <f t="shared" si="21"/>
        <v>43607</v>
      </c>
      <c r="B111" s="96">
        <f>IF(DIAS365('CALCULADORA TIPS Pesos E-14'!$E$6,A111)&lt;0,0,DIAS365('CALCULADORA TIPS Pesos E-14'!$E$6,A111))</f>
        <v>1639</v>
      </c>
      <c r="C111" s="97">
        <f>+HLOOKUP('CALCULADORA TIPS Pesos E-14'!$E$4,Tablas!$B$1:$B$181,Flujos!J111+1,FALSE)</f>
        <v>0</v>
      </c>
      <c r="D111" s="98">
        <f t="shared" si="13"/>
        <v>0</v>
      </c>
      <c r="E111" s="99">
        <f t="shared" si="14"/>
        <v>0</v>
      </c>
      <c r="F111" s="99">
        <f>ROUND(D110*ROUND(((1+'CALCULADORA TIPS Pesos E-14'!$C$14)^(1/12)-1),6),6)</f>
        <v>0</v>
      </c>
      <c r="G111" s="99">
        <f t="shared" si="15"/>
        <v>0</v>
      </c>
      <c r="H111" s="100">
        <f>IF($B111=0,0,G111/POWER(1+'CALCULADORA TIPS Pesos E-14'!$F$11,Flujos!$B111/365))</f>
        <v>0</v>
      </c>
      <c r="I111" s="101">
        <f t="shared" si="12"/>
        <v>43607</v>
      </c>
      <c r="J111" s="65">
        <v>109</v>
      </c>
      <c r="K111" s="102">
        <f t="shared" si="16"/>
        <v>3315</v>
      </c>
      <c r="L111" s="106">
        <f t="shared" si="17"/>
        <v>1.621246337890625E-05</v>
      </c>
      <c r="M111" s="103">
        <f t="shared" si="18"/>
        <v>0</v>
      </c>
      <c r="N111" s="103">
        <f t="shared" si="19"/>
        <v>8.389949798583984E-08</v>
      </c>
      <c r="O111" s="104">
        <f t="shared" si="20"/>
        <v>8.389949798583984E-08</v>
      </c>
    </row>
    <row r="112" spans="1:15" ht="12.75">
      <c r="A112" s="95">
        <f t="shared" si="21"/>
        <v>43638</v>
      </c>
      <c r="B112" s="96">
        <f>IF(DIAS365('CALCULADORA TIPS Pesos E-14'!$E$6,A112)&lt;0,0,DIAS365('CALCULADORA TIPS Pesos E-14'!$E$6,A112))</f>
        <v>1670</v>
      </c>
      <c r="C112" s="97">
        <f>+HLOOKUP('CALCULADORA TIPS Pesos E-14'!$E$4,Tablas!$B$1:$B$181,Flujos!J112+1,FALSE)</f>
        <v>0</v>
      </c>
      <c r="D112" s="98">
        <f t="shared" si="13"/>
        <v>0</v>
      </c>
      <c r="E112" s="99">
        <f t="shared" si="14"/>
        <v>0</v>
      </c>
      <c r="F112" s="99">
        <f>ROUND(D111*ROUND(((1+'CALCULADORA TIPS Pesos E-14'!$C$14)^(1/12)-1),6),6)</f>
        <v>0</v>
      </c>
      <c r="G112" s="99">
        <f t="shared" si="15"/>
        <v>0</v>
      </c>
      <c r="H112" s="100">
        <f>IF($B112=0,0,G112/POWER(1+'CALCULADORA TIPS Pesos E-14'!$F$11,Flujos!$B112/365))</f>
        <v>0</v>
      </c>
      <c r="I112" s="101">
        <f t="shared" si="12"/>
        <v>43638</v>
      </c>
      <c r="J112" s="65">
        <v>110</v>
      </c>
      <c r="K112" s="102">
        <f t="shared" si="16"/>
        <v>3346</v>
      </c>
      <c r="L112" s="106">
        <f t="shared" si="17"/>
        <v>1.621246337890625E-05</v>
      </c>
      <c r="M112" s="103">
        <f t="shared" si="18"/>
        <v>0</v>
      </c>
      <c r="N112" s="103">
        <f t="shared" si="19"/>
        <v>8.389949798583984E-08</v>
      </c>
      <c r="O112" s="104">
        <f t="shared" si="20"/>
        <v>8.389949798583984E-08</v>
      </c>
    </row>
    <row r="113" spans="1:15" ht="12.75">
      <c r="A113" s="95">
        <f t="shared" si="21"/>
        <v>43668</v>
      </c>
      <c r="B113" s="96">
        <f>IF(DIAS365('CALCULADORA TIPS Pesos E-14'!$E$6,A113)&lt;0,0,DIAS365('CALCULADORA TIPS Pesos E-14'!$E$6,A113))</f>
        <v>1700</v>
      </c>
      <c r="C113" s="97">
        <f>+HLOOKUP('CALCULADORA TIPS Pesos E-14'!$E$4,Tablas!$B$1:$B$181,Flujos!J113+1,FALSE)</f>
        <v>0</v>
      </c>
      <c r="D113" s="98">
        <f t="shared" si="13"/>
        <v>0</v>
      </c>
      <c r="E113" s="99">
        <f t="shared" si="14"/>
        <v>0</v>
      </c>
      <c r="F113" s="99">
        <f>ROUND(D112*ROUND(((1+'CALCULADORA TIPS Pesos E-14'!$C$14)^(1/12)-1),6),6)</f>
        <v>0</v>
      </c>
      <c r="G113" s="99">
        <f t="shared" si="15"/>
        <v>0</v>
      </c>
      <c r="H113" s="100">
        <f>IF($B113=0,0,G113/POWER(1+'CALCULADORA TIPS Pesos E-14'!$F$11,Flujos!$B113/365))</f>
        <v>0</v>
      </c>
      <c r="I113" s="101">
        <f t="shared" si="12"/>
        <v>43668</v>
      </c>
      <c r="J113" s="65">
        <v>111</v>
      </c>
      <c r="K113" s="102">
        <f t="shared" si="16"/>
        <v>3376</v>
      </c>
      <c r="L113" s="106">
        <f t="shared" si="17"/>
        <v>1.621246337890625E-05</v>
      </c>
      <c r="M113" s="103">
        <f t="shared" si="18"/>
        <v>0</v>
      </c>
      <c r="N113" s="103">
        <f t="shared" si="19"/>
        <v>8.389949798583984E-08</v>
      </c>
      <c r="O113" s="104">
        <f t="shared" si="20"/>
        <v>8.389949798583984E-08</v>
      </c>
    </row>
    <row r="114" spans="1:15" ht="12.75">
      <c r="A114" s="95">
        <f t="shared" si="21"/>
        <v>43699</v>
      </c>
      <c r="B114" s="96">
        <f>IF(DIAS365('CALCULADORA TIPS Pesos E-14'!$E$6,A114)&lt;0,0,DIAS365('CALCULADORA TIPS Pesos E-14'!$E$6,A114))</f>
        <v>1731</v>
      </c>
      <c r="C114" s="97">
        <f>+HLOOKUP('CALCULADORA TIPS Pesos E-14'!$E$4,Tablas!$B$1:$B$181,Flujos!J114+1,FALSE)</f>
        <v>0</v>
      </c>
      <c r="D114" s="98">
        <f t="shared" si="13"/>
        <v>0</v>
      </c>
      <c r="E114" s="99">
        <f t="shared" si="14"/>
        <v>0</v>
      </c>
      <c r="F114" s="99">
        <f>ROUND(D113*ROUND(((1+'CALCULADORA TIPS Pesos E-14'!$C$14)^(1/12)-1),6),6)</f>
        <v>0</v>
      </c>
      <c r="G114" s="99">
        <f t="shared" si="15"/>
        <v>0</v>
      </c>
      <c r="H114" s="100">
        <f>IF($B114=0,0,G114/POWER(1+'CALCULADORA TIPS Pesos E-14'!$F$11,Flujos!$B114/365))</f>
        <v>0</v>
      </c>
      <c r="I114" s="101">
        <f t="shared" si="12"/>
        <v>43699</v>
      </c>
      <c r="J114" s="65">
        <v>112</v>
      </c>
      <c r="K114" s="102">
        <f t="shared" si="16"/>
        <v>3407</v>
      </c>
      <c r="L114" s="106">
        <f t="shared" si="17"/>
        <v>1.621246337890625E-05</v>
      </c>
      <c r="M114" s="103">
        <f t="shared" si="18"/>
        <v>0</v>
      </c>
      <c r="N114" s="103">
        <f t="shared" si="19"/>
        <v>8.389949798583984E-08</v>
      </c>
      <c r="O114" s="104">
        <f t="shared" si="20"/>
        <v>8.389949798583984E-08</v>
      </c>
    </row>
    <row r="115" spans="1:15" ht="12.75">
      <c r="A115" s="95">
        <f t="shared" si="21"/>
        <v>43730</v>
      </c>
      <c r="B115" s="96">
        <f>IF(DIAS365('CALCULADORA TIPS Pesos E-14'!$E$6,A115)&lt;0,0,DIAS365('CALCULADORA TIPS Pesos E-14'!$E$6,A115))</f>
        <v>1762</v>
      </c>
      <c r="C115" s="97">
        <f>+HLOOKUP('CALCULADORA TIPS Pesos E-14'!$E$4,Tablas!$B$1:$B$181,Flujos!J115+1,FALSE)</f>
        <v>0</v>
      </c>
      <c r="D115" s="98">
        <f t="shared" si="13"/>
        <v>0</v>
      </c>
      <c r="E115" s="99">
        <f t="shared" si="14"/>
        <v>0</v>
      </c>
      <c r="F115" s="99">
        <f>ROUND(D114*ROUND(((1+'CALCULADORA TIPS Pesos E-14'!$C$14)^(1/12)-1),6),6)</f>
        <v>0</v>
      </c>
      <c r="G115" s="99">
        <f t="shared" si="15"/>
        <v>0</v>
      </c>
      <c r="H115" s="100">
        <f>IF($B115=0,0,G115/POWER(1+'CALCULADORA TIPS Pesos E-14'!$F$11,Flujos!$B115/365))</f>
        <v>0</v>
      </c>
      <c r="I115" s="101">
        <f t="shared" si="12"/>
        <v>43730</v>
      </c>
      <c r="J115" s="65">
        <v>113</v>
      </c>
      <c r="K115" s="102">
        <f t="shared" si="16"/>
        <v>3438</v>
      </c>
      <c r="L115" s="106">
        <f t="shared" si="17"/>
        <v>1.621246337890625E-05</v>
      </c>
      <c r="M115" s="103">
        <f t="shared" si="18"/>
        <v>0</v>
      </c>
      <c r="N115" s="103">
        <f t="shared" si="19"/>
        <v>8.389949798583984E-08</v>
      </c>
      <c r="O115" s="104">
        <f t="shared" si="20"/>
        <v>8.389949798583984E-08</v>
      </c>
    </row>
    <row r="116" spans="1:15" ht="12.75">
      <c r="A116" s="95">
        <f t="shared" si="21"/>
        <v>43760</v>
      </c>
      <c r="B116" s="96">
        <f>IF(DIAS365('CALCULADORA TIPS Pesos E-14'!$E$6,A116)&lt;0,0,DIAS365('CALCULADORA TIPS Pesos E-14'!$E$6,A116))</f>
        <v>1792</v>
      </c>
      <c r="C116" s="97">
        <f>+HLOOKUP('CALCULADORA TIPS Pesos E-14'!$E$4,Tablas!$B$1:$B$181,Flujos!J116+1,FALSE)</f>
        <v>0</v>
      </c>
      <c r="D116" s="98">
        <f t="shared" si="13"/>
        <v>0</v>
      </c>
      <c r="E116" s="99">
        <f t="shared" si="14"/>
        <v>0</v>
      </c>
      <c r="F116" s="99">
        <f>ROUND(D115*ROUND(((1+'CALCULADORA TIPS Pesos E-14'!$C$14)^(1/12)-1),6),6)</f>
        <v>0</v>
      </c>
      <c r="G116" s="99">
        <f t="shared" si="15"/>
        <v>0</v>
      </c>
      <c r="H116" s="100">
        <f>IF($B116=0,0,G116/POWER(1+'CALCULADORA TIPS Pesos E-14'!$F$11,Flujos!$B116/365))</f>
        <v>0</v>
      </c>
      <c r="I116" s="101">
        <f t="shared" si="12"/>
        <v>43760</v>
      </c>
      <c r="J116" s="65">
        <v>114</v>
      </c>
      <c r="K116" s="102">
        <f t="shared" si="16"/>
        <v>3468</v>
      </c>
      <c r="L116" s="106">
        <f t="shared" si="17"/>
        <v>1.621246337890625E-05</v>
      </c>
      <c r="M116" s="103">
        <f t="shared" si="18"/>
        <v>0</v>
      </c>
      <c r="N116" s="103">
        <f t="shared" si="19"/>
        <v>8.389949798583984E-08</v>
      </c>
      <c r="O116" s="104">
        <f t="shared" si="20"/>
        <v>8.389949798583984E-08</v>
      </c>
    </row>
    <row r="117" spans="1:15" ht="12.75">
      <c r="A117" s="95">
        <f t="shared" si="21"/>
        <v>43791</v>
      </c>
      <c r="B117" s="96">
        <f>IF(DIAS365('CALCULADORA TIPS Pesos E-14'!$E$6,A117)&lt;0,0,DIAS365('CALCULADORA TIPS Pesos E-14'!$E$6,A117))</f>
        <v>1823</v>
      </c>
      <c r="C117" s="97">
        <f>+HLOOKUP('CALCULADORA TIPS Pesos E-14'!$E$4,Tablas!$B$1:$B$181,Flujos!J117+1,FALSE)</f>
        <v>0</v>
      </c>
      <c r="D117" s="98">
        <f t="shared" si="13"/>
        <v>0</v>
      </c>
      <c r="E117" s="99">
        <f t="shared" si="14"/>
        <v>0</v>
      </c>
      <c r="F117" s="99">
        <f>ROUND(D116*ROUND(((1+'CALCULADORA TIPS Pesos E-14'!$C$14)^(1/12)-1),6),6)</f>
        <v>0</v>
      </c>
      <c r="G117" s="99">
        <f t="shared" si="15"/>
        <v>0</v>
      </c>
      <c r="H117" s="100">
        <f>IF($B117=0,0,G117/POWER(1+'CALCULADORA TIPS Pesos E-14'!$F$11,Flujos!$B117/365))</f>
        <v>0</v>
      </c>
      <c r="I117" s="101">
        <f t="shared" si="12"/>
        <v>43791</v>
      </c>
      <c r="J117" s="65">
        <v>115</v>
      </c>
      <c r="K117" s="102">
        <f t="shared" si="16"/>
        <v>3499</v>
      </c>
      <c r="L117" s="106">
        <f t="shared" si="17"/>
        <v>1.621246337890625E-05</v>
      </c>
      <c r="M117" s="103">
        <f t="shared" si="18"/>
        <v>0</v>
      </c>
      <c r="N117" s="103">
        <f t="shared" si="19"/>
        <v>8.389949798583984E-08</v>
      </c>
      <c r="O117" s="104">
        <f t="shared" si="20"/>
        <v>8.389949798583984E-08</v>
      </c>
    </row>
    <row r="118" spans="1:15" ht="12.75">
      <c r="A118" s="95">
        <f t="shared" si="21"/>
        <v>43821</v>
      </c>
      <c r="B118" s="96">
        <f>IF(DIAS365('CALCULADORA TIPS Pesos E-14'!$E$6,A118)&lt;0,0,DIAS365('CALCULADORA TIPS Pesos E-14'!$E$6,A118))</f>
        <v>1853</v>
      </c>
      <c r="C118" s="97">
        <f>+HLOOKUP('CALCULADORA TIPS Pesos E-14'!$E$4,Tablas!$B$1:$B$181,Flujos!J118+1,FALSE)</f>
        <v>0</v>
      </c>
      <c r="D118" s="98">
        <f t="shared" si="13"/>
        <v>0</v>
      </c>
      <c r="E118" s="99">
        <f t="shared" si="14"/>
        <v>0</v>
      </c>
      <c r="F118" s="99">
        <f>ROUND(D117*ROUND(((1+'CALCULADORA TIPS Pesos E-14'!$C$14)^(1/12)-1),6),6)</f>
        <v>0</v>
      </c>
      <c r="G118" s="99">
        <f t="shared" si="15"/>
        <v>0</v>
      </c>
      <c r="H118" s="100">
        <f>IF($B118=0,0,G118/POWER(1+'CALCULADORA TIPS Pesos E-14'!$F$11,Flujos!$B118/365))</f>
        <v>0</v>
      </c>
      <c r="I118" s="101">
        <f t="shared" si="12"/>
        <v>43821</v>
      </c>
      <c r="J118" s="65">
        <v>116</v>
      </c>
      <c r="K118" s="102">
        <f t="shared" si="16"/>
        <v>3529</v>
      </c>
      <c r="L118" s="106">
        <f t="shared" si="17"/>
        <v>1.621246337890625E-05</v>
      </c>
      <c r="M118" s="103">
        <f t="shared" si="18"/>
        <v>0</v>
      </c>
      <c r="N118" s="103">
        <f t="shared" si="19"/>
        <v>8.389949798583984E-08</v>
      </c>
      <c r="O118" s="104">
        <f t="shared" si="20"/>
        <v>8.389949798583984E-08</v>
      </c>
    </row>
    <row r="119" spans="1:15" ht="12.75">
      <c r="A119" s="95">
        <f t="shared" si="21"/>
        <v>43852</v>
      </c>
      <c r="B119" s="96">
        <f>IF(DIAS365('CALCULADORA TIPS Pesos E-14'!$E$6,A119)&lt;0,0,DIAS365('CALCULADORA TIPS Pesos E-14'!$E$6,A119))</f>
        <v>1884</v>
      </c>
      <c r="C119" s="97">
        <f>+HLOOKUP('CALCULADORA TIPS Pesos E-14'!$E$4,Tablas!$B$1:$B$181,Flujos!J119+1,FALSE)</f>
        <v>0</v>
      </c>
      <c r="D119" s="98">
        <f t="shared" si="13"/>
        <v>0</v>
      </c>
      <c r="E119" s="99">
        <f t="shared" si="14"/>
        <v>0</v>
      </c>
      <c r="F119" s="99">
        <f>ROUND(D118*ROUND(((1+'CALCULADORA TIPS Pesos E-14'!$C$14)^(1/12)-1),6),6)</f>
        <v>0</v>
      </c>
      <c r="G119" s="99">
        <f t="shared" si="15"/>
        <v>0</v>
      </c>
      <c r="H119" s="100">
        <f>IF($B119=0,0,G119/POWER(1+'CALCULADORA TIPS Pesos E-14'!$F$11,Flujos!$B119/365))</f>
        <v>0</v>
      </c>
      <c r="I119" s="101">
        <f t="shared" si="12"/>
        <v>43852</v>
      </c>
      <c r="J119" s="65">
        <v>117</v>
      </c>
      <c r="K119" s="102">
        <f t="shared" si="16"/>
        <v>3560</v>
      </c>
      <c r="L119" s="106">
        <f t="shared" si="17"/>
        <v>1.621246337890625E-05</v>
      </c>
      <c r="M119" s="103">
        <f t="shared" si="18"/>
        <v>0</v>
      </c>
      <c r="N119" s="103">
        <f t="shared" si="19"/>
        <v>8.389949798583984E-08</v>
      </c>
      <c r="O119" s="104">
        <f t="shared" si="20"/>
        <v>8.389949798583984E-08</v>
      </c>
    </row>
    <row r="120" spans="1:15" ht="12.75">
      <c r="A120" s="95">
        <f t="shared" si="21"/>
        <v>43883</v>
      </c>
      <c r="B120" s="96">
        <f>IF(DIAS365('CALCULADORA TIPS Pesos E-14'!$E$6,A120)&lt;0,0,DIAS365('CALCULADORA TIPS Pesos E-14'!$E$6,A120))</f>
        <v>1915</v>
      </c>
      <c r="C120" s="97">
        <f>+HLOOKUP('CALCULADORA TIPS Pesos E-14'!$E$4,Tablas!$B$1:$B$181,Flujos!J120+1,FALSE)</f>
        <v>0</v>
      </c>
      <c r="D120" s="98">
        <f t="shared" si="13"/>
        <v>0</v>
      </c>
      <c r="E120" s="99">
        <f t="shared" si="14"/>
        <v>0</v>
      </c>
      <c r="F120" s="99">
        <f>ROUND(D119*ROUND(((1+'CALCULADORA TIPS Pesos E-14'!$C$14)^(1/12)-1),6),6)</f>
        <v>0</v>
      </c>
      <c r="G120" s="99">
        <f t="shared" si="15"/>
        <v>0</v>
      </c>
      <c r="H120" s="100">
        <f>IF($B120=0,0,G120/POWER(1+'CALCULADORA TIPS Pesos E-14'!$F$11,Flujos!$B120/365))</f>
        <v>0</v>
      </c>
      <c r="I120" s="101">
        <f t="shared" si="12"/>
        <v>43883</v>
      </c>
      <c r="J120" s="65">
        <v>118</v>
      </c>
      <c r="K120" s="102">
        <f t="shared" si="16"/>
        <v>3591</v>
      </c>
      <c r="L120" s="106">
        <f t="shared" si="17"/>
        <v>1.621246337890625E-05</v>
      </c>
      <c r="M120" s="103">
        <f t="shared" si="18"/>
        <v>0</v>
      </c>
      <c r="N120" s="103">
        <f t="shared" si="19"/>
        <v>8.389949798583984E-08</v>
      </c>
      <c r="O120" s="104">
        <f t="shared" si="20"/>
        <v>8.389949798583984E-08</v>
      </c>
    </row>
    <row r="121" spans="1:15" ht="12.75">
      <c r="A121" s="95">
        <f t="shared" si="21"/>
        <v>43912</v>
      </c>
      <c r="B121" s="96">
        <f>IF(DIAS365('CALCULADORA TIPS Pesos E-14'!$E$6,A121)&lt;0,0,DIAS365('CALCULADORA TIPS Pesos E-14'!$E$6,A121))</f>
        <v>1943</v>
      </c>
      <c r="C121" s="97">
        <f>+HLOOKUP('CALCULADORA TIPS Pesos E-14'!$E$4,Tablas!$B$1:$B$181,Flujos!J121+1,FALSE)</f>
        <v>0</v>
      </c>
      <c r="D121" s="98">
        <f t="shared" si="13"/>
        <v>0</v>
      </c>
      <c r="E121" s="99">
        <f t="shared" si="14"/>
        <v>0</v>
      </c>
      <c r="F121" s="99">
        <f>ROUND(D120*ROUND(((1+'CALCULADORA TIPS Pesos E-14'!$C$14)^(1/12)-1),6),6)</f>
        <v>0</v>
      </c>
      <c r="G121" s="99">
        <f t="shared" si="15"/>
        <v>0</v>
      </c>
      <c r="H121" s="100">
        <f>IF($B121=0,0,G121/POWER(1+'CALCULADORA TIPS Pesos E-14'!$F$11,Flujos!$B121/365))</f>
        <v>0</v>
      </c>
      <c r="I121" s="101">
        <f t="shared" si="12"/>
        <v>43912</v>
      </c>
      <c r="J121" s="65">
        <v>119</v>
      </c>
      <c r="K121" s="102">
        <f t="shared" si="16"/>
        <v>3619</v>
      </c>
      <c r="L121" s="106">
        <f t="shared" si="17"/>
        <v>1.621246337890625E-05</v>
      </c>
      <c r="M121" s="103">
        <f t="shared" si="18"/>
        <v>0</v>
      </c>
      <c r="N121" s="103">
        <f t="shared" si="19"/>
        <v>8.389949798583984E-08</v>
      </c>
      <c r="O121" s="104">
        <f t="shared" si="20"/>
        <v>8.389949798583984E-08</v>
      </c>
    </row>
    <row r="122" spans="1:15" ht="12.75">
      <c r="A122" s="95">
        <f t="shared" si="21"/>
        <v>43943</v>
      </c>
      <c r="B122" s="96">
        <f>IF(DIAS365('CALCULADORA TIPS Pesos E-14'!$E$6,A122)&lt;0,0,DIAS365('CALCULADORA TIPS Pesos E-14'!$E$6,A122))</f>
        <v>1974</v>
      </c>
      <c r="C122" s="97">
        <f>+HLOOKUP('CALCULADORA TIPS Pesos E-14'!$E$4,Tablas!$B$1:$B$181,Flujos!J122+1,FALSE)</f>
        <v>0</v>
      </c>
      <c r="D122" s="98">
        <f t="shared" si="13"/>
        <v>0</v>
      </c>
      <c r="E122" s="99">
        <f t="shared" si="14"/>
        <v>0</v>
      </c>
      <c r="F122" s="99">
        <f>ROUND(D121*ROUND(((1+'CALCULADORA TIPS Pesos E-14'!$C$14)^(1/12)-1),6),6)</f>
        <v>0</v>
      </c>
      <c r="G122" s="99">
        <f t="shared" si="15"/>
        <v>0</v>
      </c>
      <c r="H122" s="100">
        <f>IF($B122=0,0,G122/POWER(1+'CALCULADORA TIPS Pesos E-14'!$F$11,Flujos!$B122/365))</f>
        <v>0</v>
      </c>
      <c r="I122" s="101">
        <f t="shared" si="12"/>
        <v>43943</v>
      </c>
      <c r="J122" s="65">
        <v>120</v>
      </c>
      <c r="K122" s="102">
        <f t="shared" si="16"/>
        <v>3650</v>
      </c>
      <c r="L122" s="106">
        <f t="shared" si="17"/>
        <v>1.621246337890625E-05</v>
      </c>
      <c r="M122" s="103">
        <f t="shared" si="18"/>
        <v>0</v>
      </c>
      <c r="N122" s="103">
        <f t="shared" si="19"/>
        <v>8.389949798583984E-08</v>
      </c>
      <c r="O122" s="104">
        <f t="shared" si="20"/>
        <v>8.389949798583984E-08</v>
      </c>
    </row>
    <row r="123" spans="1:15" ht="12.75">
      <c r="A123" s="95">
        <f t="shared" si="21"/>
        <v>43973</v>
      </c>
      <c r="B123" s="96">
        <f>IF(DIAS365('CALCULADORA TIPS Pesos E-14'!$E$6,A123)&lt;0,0,DIAS365('CALCULADORA TIPS Pesos E-14'!$E$6,A123))</f>
        <v>2004</v>
      </c>
      <c r="C123" s="97">
        <f>+HLOOKUP('CALCULADORA TIPS Pesos E-14'!$E$4,Tablas!$B$1:$B$181,Flujos!J123+1,FALSE)</f>
        <v>0</v>
      </c>
      <c r="D123" s="98">
        <f t="shared" si="13"/>
        <v>0</v>
      </c>
      <c r="E123" s="99">
        <f t="shared" si="14"/>
        <v>0</v>
      </c>
      <c r="F123" s="99">
        <f>ROUND(D122*ROUND(((1+'CALCULADORA TIPS Pesos E-14'!$C$14)^(1/12)-1),6),6)</f>
        <v>0</v>
      </c>
      <c r="G123" s="99">
        <f t="shared" si="15"/>
        <v>0</v>
      </c>
      <c r="H123" s="100">
        <f>IF($B123=0,0,G123/POWER(1+'CALCULADORA TIPS Pesos E-14'!$F$11,Flujos!$B123/365))</f>
        <v>0</v>
      </c>
      <c r="I123" s="101">
        <f t="shared" si="12"/>
        <v>43973</v>
      </c>
      <c r="J123" s="65">
        <v>121</v>
      </c>
      <c r="K123" s="102">
        <f t="shared" si="16"/>
        <v>3680</v>
      </c>
      <c r="L123" s="106">
        <f t="shared" si="17"/>
        <v>1.621246337890625E-05</v>
      </c>
      <c r="M123" s="103">
        <f t="shared" si="18"/>
        <v>0</v>
      </c>
      <c r="N123" s="103">
        <f t="shared" si="19"/>
        <v>8.389949798583984E-08</v>
      </c>
      <c r="O123" s="104">
        <f t="shared" si="20"/>
        <v>8.389949798583984E-08</v>
      </c>
    </row>
    <row r="124" spans="1:15" ht="12.75">
      <c r="A124" s="95">
        <f t="shared" si="21"/>
        <v>44004</v>
      </c>
      <c r="B124" s="96">
        <f>IF(DIAS365('CALCULADORA TIPS Pesos E-14'!$E$6,A124)&lt;0,0,DIAS365('CALCULADORA TIPS Pesos E-14'!$E$6,A124))</f>
        <v>2035</v>
      </c>
      <c r="C124" s="97">
        <f>+HLOOKUP('CALCULADORA TIPS Pesos E-14'!$E$4,Tablas!$B$1:$B$181,Flujos!J124+1,FALSE)</f>
        <v>0</v>
      </c>
      <c r="D124" s="98">
        <f t="shared" si="13"/>
        <v>0</v>
      </c>
      <c r="E124" s="99">
        <f t="shared" si="14"/>
        <v>0</v>
      </c>
      <c r="F124" s="99">
        <f>ROUND(D123*ROUND(((1+'CALCULADORA TIPS Pesos E-14'!$C$14)^(1/12)-1),6),6)</f>
        <v>0</v>
      </c>
      <c r="G124" s="99">
        <f t="shared" si="15"/>
        <v>0</v>
      </c>
      <c r="H124" s="100">
        <f>IF($B124=0,0,G124/POWER(1+'CALCULADORA TIPS Pesos E-14'!$F$11,Flujos!$B124/365))</f>
        <v>0</v>
      </c>
      <c r="I124" s="101">
        <f t="shared" si="12"/>
        <v>44004</v>
      </c>
      <c r="J124" s="65">
        <v>122</v>
      </c>
      <c r="K124" s="102">
        <f t="shared" si="16"/>
        <v>3711</v>
      </c>
      <c r="L124" s="106">
        <f t="shared" si="17"/>
        <v>1.621246337890625E-05</v>
      </c>
      <c r="M124" s="103">
        <f t="shared" si="18"/>
        <v>0</v>
      </c>
      <c r="N124" s="103">
        <f t="shared" si="19"/>
        <v>8.389949798583984E-08</v>
      </c>
      <c r="O124" s="104">
        <f t="shared" si="20"/>
        <v>8.389949798583984E-08</v>
      </c>
    </row>
    <row r="125" spans="1:15" ht="12.75">
      <c r="A125" s="95">
        <f t="shared" si="21"/>
        <v>44034</v>
      </c>
      <c r="B125" s="96">
        <f>IF(DIAS365('CALCULADORA TIPS Pesos E-14'!$E$6,A125)&lt;0,0,DIAS365('CALCULADORA TIPS Pesos E-14'!$E$6,A125))</f>
        <v>2065</v>
      </c>
      <c r="C125" s="97">
        <f>+HLOOKUP('CALCULADORA TIPS Pesos E-14'!$E$4,Tablas!$B$1:$B$181,Flujos!J125+1,FALSE)</f>
        <v>0</v>
      </c>
      <c r="D125" s="98">
        <f t="shared" si="13"/>
        <v>0</v>
      </c>
      <c r="E125" s="99">
        <f t="shared" si="14"/>
        <v>0</v>
      </c>
      <c r="F125" s="99">
        <f>ROUND(D124*ROUND(((1+'CALCULADORA TIPS Pesos E-14'!$C$14)^(1/12)-1),6),6)</f>
        <v>0</v>
      </c>
      <c r="G125" s="99">
        <f t="shared" si="15"/>
        <v>0</v>
      </c>
      <c r="H125" s="100">
        <f>IF($B125=0,0,G125/POWER(1+'CALCULADORA TIPS Pesos E-14'!$F$11,Flujos!$B125/365))</f>
        <v>0</v>
      </c>
      <c r="I125" s="101">
        <f t="shared" si="12"/>
        <v>44034</v>
      </c>
      <c r="J125" s="65">
        <v>123</v>
      </c>
      <c r="K125" s="102">
        <f t="shared" si="16"/>
        <v>3741</v>
      </c>
      <c r="L125" s="106">
        <f t="shared" si="17"/>
        <v>1.621246337890625E-05</v>
      </c>
      <c r="M125" s="103">
        <f t="shared" si="18"/>
        <v>0</v>
      </c>
      <c r="N125" s="103">
        <f t="shared" si="19"/>
        <v>8.389949798583984E-08</v>
      </c>
      <c r="O125" s="104">
        <f t="shared" si="20"/>
        <v>8.389949798583984E-08</v>
      </c>
    </row>
    <row r="126" spans="1:15" ht="12.75">
      <c r="A126" s="95">
        <f t="shared" si="21"/>
        <v>44065</v>
      </c>
      <c r="B126" s="96">
        <f>IF(DIAS365('CALCULADORA TIPS Pesos E-14'!$E$6,A126)&lt;0,0,DIAS365('CALCULADORA TIPS Pesos E-14'!$E$6,A126))</f>
        <v>2096</v>
      </c>
      <c r="C126" s="97">
        <f>+HLOOKUP('CALCULADORA TIPS Pesos E-14'!$E$4,Tablas!$B$1:$B$181,Flujos!J126+1,FALSE)</f>
        <v>0</v>
      </c>
      <c r="D126" s="98">
        <f t="shared" si="13"/>
        <v>0</v>
      </c>
      <c r="E126" s="99">
        <f t="shared" si="14"/>
        <v>0</v>
      </c>
      <c r="F126" s="99">
        <f>ROUND(D125*ROUND(((1+'CALCULADORA TIPS Pesos E-14'!$C$14)^(1/12)-1),6),6)</f>
        <v>0</v>
      </c>
      <c r="G126" s="99">
        <f t="shared" si="15"/>
        <v>0</v>
      </c>
      <c r="H126" s="100">
        <f>IF($B126=0,0,G126/POWER(1+'CALCULADORA TIPS Pesos E-14'!$F$11,Flujos!$B126/365))</f>
        <v>0</v>
      </c>
      <c r="I126" s="101">
        <f t="shared" si="12"/>
        <v>44065</v>
      </c>
      <c r="J126" s="65">
        <v>124</v>
      </c>
      <c r="K126" s="102">
        <f t="shared" si="16"/>
        <v>3772</v>
      </c>
      <c r="L126" s="106">
        <f t="shared" si="17"/>
        <v>1.621246337890625E-05</v>
      </c>
      <c r="M126" s="103">
        <f t="shared" si="18"/>
        <v>0</v>
      </c>
      <c r="N126" s="103">
        <f t="shared" si="19"/>
        <v>8.389949798583984E-08</v>
      </c>
      <c r="O126" s="104">
        <f t="shared" si="20"/>
        <v>8.389949798583984E-08</v>
      </c>
    </row>
    <row r="127" spans="1:15" ht="12.75">
      <c r="A127" s="95">
        <f t="shared" si="21"/>
        <v>44096</v>
      </c>
      <c r="B127" s="96">
        <f>IF(DIAS365('CALCULADORA TIPS Pesos E-14'!$E$6,A127)&lt;0,0,DIAS365('CALCULADORA TIPS Pesos E-14'!$E$6,A127))</f>
        <v>2127</v>
      </c>
      <c r="C127" s="97">
        <f>+HLOOKUP('CALCULADORA TIPS Pesos E-14'!$E$4,Tablas!$B$1:$B$181,Flujos!J127+1,FALSE)</f>
        <v>0</v>
      </c>
      <c r="D127" s="98">
        <f t="shared" si="13"/>
        <v>0</v>
      </c>
      <c r="E127" s="99">
        <f t="shared" si="14"/>
        <v>0</v>
      </c>
      <c r="F127" s="99">
        <f>ROUND(D126*ROUND(((1+'CALCULADORA TIPS Pesos E-14'!$C$14)^(1/12)-1),6),6)</f>
        <v>0</v>
      </c>
      <c r="G127" s="99">
        <f t="shared" si="15"/>
        <v>0</v>
      </c>
      <c r="H127" s="100">
        <f>IF($B127=0,0,G127/POWER(1+'CALCULADORA TIPS Pesos E-14'!$F$11,Flujos!$B127/365))</f>
        <v>0</v>
      </c>
      <c r="I127" s="101">
        <f t="shared" si="12"/>
        <v>44096</v>
      </c>
      <c r="J127" s="65">
        <v>125</v>
      </c>
      <c r="K127" s="102">
        <f t="shared" si="16"/>
        <v>3803</v>
      </c>
      <c r="L127" s="106">
        <f t="shared" si="17"/>
        <v>1.621246337890625E-05</v>
      </c>
      <c r="M127" s="103">
        <f t="shared" si="18"/>
        <v>0</v>
      </c>
      <c r="N127" s="103">
        <f t="shared" si="19"/>
        <v>8.389949798583984E-08</v>
      </c>
      <c r="O127" s="104">
        <f t="shared" si="20"/>
        <v>8.389949798583984E-08</v>
      </c>
    </row>
    <row r="128" spans="1:15" ht="12.75">
      <c r="A128" s="95">
        <f t="shared" si="21"/>
        <v>44126</v>
      </c>
      <c r="B128" s="96">
        <f>IF(DIAS365('CALCULADORA TIPS Pesos E-14'!$E$6,A128)&lt;0,0,DIAS365('CALCULADORA TIPS Pesos E-14'!$E$6,A128))</f>
        <v>2157</v>
      </c>
      <c r="C128" s="97">
        <f>+HLOOKUP('CALCULADORA TIPS Pesos E-14'!$E$4,Tablas!$B$1:$B$181,Flujos!J128+1,FALSE)</f>
        <v>0</v>
      </c>
      <c r="D128" s="98">
        <f t="shared" si="13"/>
        <v>0</v>
      </c>
      <c r="E128" s="99">
        <f t="shared" si="14"/>
        <v>0</v>
      </c>
      <c r="F128" s="99">
        <f>ROUND(D127*ROUND(((1+'CALCULADORA TIPS Pesos E-14'!$C$14)^(1/12)-1),6),6)</f>
        <v>0</v>
      </c>
      <c r="G128" s="99">
        <f t="shared" si="15"/>
        <v>0</v>
      </c>
      <c r="H128" s="100">
        <f>IF($B128=0,0,G128/POWER(1+'CALCULADORA TIPS Pesos E-14'!$F$11,Flujos!$B128/365))</f>
        <v>0</v>
      </c>
      <c r="I128" s="101">
        <f t="shared" si="12"/>
        <v>44126</v>
      </c>
      <c r="J128" s="65">
        <v>126</v>
      </c>
      <c r="K128" s="102">
        <f t="shared" si="16"/>
        <v>3833</v>
      </c>
      <c r="L128" s="106">
        <f t="shared" si="17"/>
        <v>1.621246337890625E-05</v>
      </c>
      <c r="M128" s="103">
        <f t="shared" si="18"/>
        <v>0</v>
      </c>
      <c r="N128" s="103">
        <f t="shared" si="19"/>
        <v>8.389949798583984E-08</v>
      </c>
      <c r="O128" s="104">
        <f t="shared" si="20"/>
        <v>8.389949798583984E-08</v>
      </c>
    </row>
    <row r="129" spans="1:15" ht="12.75">
      <c r="A129" s="95">
        <f t="shared" si="21"/>
        <v>44157</v>
      </c>
      <c r="B129" s="96">
        <f>IF(DIAS365('CALCULADORA TIPS Pesos E-14'!$E$6,A129)&lt;0,0,DIAS365('CALCULADORA TIPS Pesos E-14'!$E$6,A129))</f>
        <v>2188</v>
      </c>
      <c r="C129" s="97">
        <f>+HLOOKUP('CALCULADORA TIPS Pesos E-14'!$E$4,Tablas!$B$1:$B$181,Flujos!J129+1,FALSE)</f>
        <v>0</v>
      </c>
      <c r="D129" s="98">
        <f t="shared" si="13"/>
        <v>0</v>
      </c>
      <c r="E129" s="99">
        <f t="shared" si="14"/>
        <v>0</v>
      </c>
      <c r="F129" s="99">
        <f>ROUND(D128*ROUND(((1+'CALCULADORA TIPS Pesos E-14'!$C$14)^(1/12)-1),6),6)</f>
        <v>0</v>
      </c>
      <c r="G129" s="99">
        <f t="shared" si="15"/>
        <v>0</v>
      </c>
      <c r="H129" s="100">
        <f>IF($B129=0,0,G129/POWER(1+'CALCULADORA TIPS Pesos E-14'!$F$11,Flujos!$B129/365))</f>
        <v>0</v>
      </c>
      <c r="I129" s="101">
        <f t="shared" si="12"/>
        <v>44157</v>
      </c>
      <c r="J129" s="65">
        <v>127</v>
      </c>
      <c r="K129" s="102">
        <f t="shared" si="16"/>
        <v>3864</v>
      </c>
      <c r="L129" s="106">
        <f t="shared" si="17"/>
        <v>1.621246337890625E-05</v>
      </c>
      <c r="M129" s="103">
        <f t="shared" si="18"/>
        <v>0</v>
      </c>
      <c r="N129" s="103">
        <f t="shared" si="19"/>
        <v>8.389949798583984E-08</v>
      </c>
      <c r="O129" s="104">
        <f t="shared" si="20"/>
        <v>8.389949798583984E-08</v>
      </c>
    </row>
    <row r="130" spans="1:15" ht="12.75">
      <c r="A130" s="95">
        <f t="shared" si="21"/>
        <v>44187</v>
      </c>
      <c r="B130" s="96">
        <f>IF(DIAS365('CALCULADORA TIPS Pesos E-14'!$E$6,A130)&lt;0,0,DIAS365('CALCULADORA TIPS Pesos E-14'!$E$6,A130))</f>
        <v>2218</v>
      </c>
      <c r="C130" s="97">
        <f>+HLOOKUP('CALCULADORA TIPS Pesos E-14'!$E$4,Tablas!$B$1:$B$181,Flujos!J130+1,FALSE)</f>
        <v>0</v>
      </c>
      <c r="D130" s="98">
        <f t="shared" si="13"/>
        <v>0</v>
      </c>
      <c r="E130" s="99">
        <f t="shared" si="14"/>
        <v>0</v>
      </c>
      <c r="F130" s="99">
        <f>ROUND(D129*ROUND(((1+'CALCULADORA TIPS Pesos E-14'!$C$14)^(1/12)-1),6),6)</f>
        <v>0</v>
      </c>
      <c r="G130" s="99">
        <f t="shared" si="15"/>
        <v>0</v>
      </c>
      <c r="H130" s="100">
        <f>IF($B130=0,0,G130/POWER(1+'CALCULADORA TIPS Pesos E-14'!$F$11,Flujos!$B130/365))</f>
        <v>0</v>
      </c>
      <c r="I130" s="101">
        <f t="shared" si="12"/>
        <v>44187</v>
      </c>
      <c r="J130" s="65">
        <v>128</v>
      </c>
      <c r="K130" s="102">
        <f t="shared" si="16"/>
        <v>3894</v>
      </c>
      <c r="L130" s="106">
        <f t="shared" si="17"/>
        <v>1.621246337890625E-05</v>
      </c>
      <c r="M130" s="103">
        <f t="shared" si="18"/>
        <v>0</v>
      </c>
      <c r="N130" s="103">
        <f t="shared" si="19"/>
        <v>8.389949798583984E-08</v>
      </c>
      <c r="O130" s="104">
        <f t="shared" si="20"/>
        <v>8.389949798583984E-08</v>
      </c>
    </row>
    <row r="131" spans="1:15" ht="12.75">
      <c r="A131" s="95">
        <f aca="true" t="shared" si="22" ref="A131:A162">_XLL.FECHA.MES(A130,1)</f>
        <v>44218</v>
      </c>
      <c r="B131" s="96">
        <f>IF(DIAS365('CALCULADORA TIPS Pesos E-14'!$E$6,A131)&lt;0,0,DIAS365('CALCULADORA TIPS Pesos E-14'!$E$6,A131))</f>
        <v>2249</v>
      </c>
      <c r="C131" s="97">
        <f>+HLOOKUP('CALCULADORA TIPS Pesos E-14'!$E$4,Tablas!$B$1:$B$181,Flujos!J131+1,FALSE)</f>
        <v>0</v>
      </c>
      <c r="D131" s="98">
        <f t="shared" si="13"/>
        <v>0</v>
      </c>
      <c r="E131" s="99">
        <f t="shared" si="14"/>
        <v>0</v>
      </c>
      <c r="F131" s="99">
        <f>ROUND(D130*ROUND(((1+'CALCULADORA TIPS Pesos E-14'!$C$14)^(1/12)-1),6),6)</f>
        <v>0</v>
      </c>
      <c r="G131" s="99">
        <f t="shared" si="15"/>
        <v>0</v>
      </c>
      <c r="H131" s="100">
        <f>IF($B131=0,0,G131/POWER(1+'CALCULADORA TIPS Pesos E-14'!$F$11,Flujos!$B131/365))</f>
        <v>0</v>
      </c>
      <c r="I131" s="101">
        <f aca="true" t="shared" si="23" ref="I131:I182">+A131</f>
        <v>44218</v>
      </c>
      <c r="J131" s="65">
        <v>129</v>
      </c>
      <c r="K131" s="102">
        <f t="shared" si="16"/>
        <v>3925</v>
      </c>
      <c r="L131" s="106">
        <f t="shared" si="17"/>
        <v>1.621246337890625E-05</v>
      </c>
      <c r="M131" s="103">
        <f t="shared" si="18"/>
        <v>0</v>
      </c>
      <c r="N131" s="103">
        <f t="shared" si="19"/>
        <v>8.389949798583984E-08</v>
      </c>
      <c r="O131" s="104">
        <f t="shared" si="20"/>
        <v>8.389949798583984E-08</v>
      </c>
    </row>
    <row r="132" spans="1:15" ht="12.75">
      <c r="A132" s="95">
        <f t="shared" si="22"/>
        <v>44249</v>
      </c>
      <c r="B132" s="96">
        <f>IF(DIAS365('CALCULADORA TIPS Pesos E-14'!$E$6,A132)&lt;0,0,DIAS365('CALCULADORA TIPS Pesos E-14'!$E$6,A132))</f>
        <v>2280</v>
      </c>
      <c r="C132" s="97">
        <f>+HLOOKUP('CALCULADORA TIPS Pesos E-14'!$E$4,Tablas!$B$1:$B$181,Flujos!J132+1,FALSE)</f>
        <v>0</v>
      </c>
      <c r="D132" s="98">
        <f aca="true" t="shared" si="24" ref="D132:D182">+ROUND(D131-E132,6)</f>
        <v>0</v>
      </c>
      <c r="E132" s="99">
        <f aca="true" t="shared" si="25" ref="E132:E182">ROUND(C132*$D$2,6)</f>
        <v>0</v>
      </c>
      <c r="F132" s="99">
        <f>ROUND(D131*ROUND(((1+'CALCULADORA TIPS Pesos E-14'!$C$14)^(1/12)-1),6),6)</f>
        <v>0</v>
      </c>
      <c r="G132" s="99">
        <f aca="true" t="shared" si="26" ref="G132:G182">F132+E132</f>
        <v>0</v>
      </c>
      <c r="H132" s="100">
        <f>IF($B132=0,0,G132/POWER(1+'CALCULADORA TIPS Pesos E-14'!$F$11,Flujos!$B132/365))</f>
        <v>0</v>
      </c>
      <c r="I132" s="101">
        <f t="shared" si="23"/>
        <v>44249</v>
      </c>
      <c r="J132" s="65">
        <v>130</v>
      </c>
      <c r="K132" s="102">
        <f aca="true" t="shared" si="27" ref="K132:K182">+DIAS365($A$2,A132)</f>
        <v>3956</v>
      </c>
      <c r="L132" s="106">
        <f aca="true" t="shared" si="28" ref="L132:L182">+L131-M132</f>
        <v>1.621246337890625E-05</v>
      </c>
      <c r="M132" s="103">
        <f aca="true" t="shared" si="29" ref="M132:M182">+$L$2*C132</f>
        <v>0</v>
      </c>
      <c r="N132" s="103">
        <f aca="true" t="shared" si="30" ref="N132:N182">+L131*$F$3%</f>
        <v>8.389949798583984E-08</v>
      </c>
      <c r="O132" s="104">
        <f aca="true" t="shared" si="31" ref="O132:O182">+N132+M132</f>
        <v>8.389949798583984E-08</v>
      </c>
    </row>
    <row r="133" spans="1:15" ht="12.75">
      <c r="A133" s="95">
        <f t="shared" si="22"/>
        <v>44277</v>
      </c>
      <c r="B133" s="96">
        <f>IF(DIAS365('CALCULADORA TIPS Pesos E-14'!$E$6,A133)&lt;0,0,DIAS365('CALCULADORA TIPS Pesos E-14'!$E$6,A133))</f>
        <v>2308</v>
      </c>
      <c r="C133" s="97">
        <f>+HLOOKUP('CALCULADORA TIPS Pesos E-14'!$E$4,Tablas!$B$1:$B$181,Flujos!J133+1,FALSE)</f>
        <v>0</v>
      </c>
      <c r="D133" s="98">
        <f t="shared" si="24"/>
        <v>0</v>
      </c>
      <c r="E133" s="99">
        <f t="shared" si="25"/>
        <v>0</v>
      </c>
      <c r="F133" s="99">
        <f>ROUND(D132*ROUND(((1+'CALCULADORA TIPS Pesos E-14'!$C$14)^(1/12)-1),6),6)</f>
        <v>0</v>
      </c>
      <c r="G133" s="99">
        <f t="shared" si="26"/>
        <v>0</v>
      </c>
      <c r="H133" s="100">
        <f>IF($B133=0,0,G133/POWER(1+'CALCULADORA TIPS Pesos E-14'!$F$11,Flujos!$B133/365))</f>
        <v>0</v>
      </c>
      <c r="I133" s="101">
        <f t="shared" si="23"/>
        <v>44277</v>
      </c>
      <c r="J133" s="65">
        <v>131</v>
      </c>
      <c r="K133" s="102">
        <f t="shared" si="27"/>
        <v>3984</v>
      </c>
      <c r="L133" s="106">
        <f t="shared" si="28"/>
        <v>1.621246337890625E-05</v>
      </c>
      <c r="M133" s="103">
        <f t="shared" si="29"/>
        <v>0</v>
      </c>
      <c r="N133" s="103">
        <f t="shared" si="30"/>
        <v>8.389949798583984E-08</v>
      </c>
      <c r="O133" s="104">
        <f t="shared" si="31"/>
        <v>8.389949798583984E-08</v>
      </c>
    </row>
    <row r="134" spans="1:15" ht="12.75">
      <c r="A134" s="95">
        <f t="shared" si="22"/>
        <v>44308</v>
      </c>
      <c r="B134" s="96">
        <f>IF(DIAS365('CALCULADORA TIPS Pesos E-14'!$E$6,A134)&lt;0,0,DIAS365('CALCULADORA TIPS Pesos E-14'!$E$6,A134))</f>
        <v>2339</v>
      </c>
      <c r="C134" s="97">
        <f>+HLOOKUP('CALCULADORA TIPS Pesos E-14'!$E$4,Tablas!$B$1:$B$181,Flujos!J134+1,FALSE)</f>
        <v>0</v>
      </c>
      <c r="D134" s="98">
        <f t="shared" si="24"/>
        <v>0</v>
      </c>
      <c r="E134" s="99">
        <f t="shared" si="25"/>
        <v>0</v>
      </c>
      <c r="F134" s="99">
        <f>ROUND(D133*ROUND(((1+'CALCULADORA TIPS Pesos E-14'!$C$14)^(1/12)-1),6),6)</f>
        <v>0</v>
      </c>
      <c r="G134" s="99">
        <f t="shared" si="26"/>
        <v>0</v>
      </c>
      <c r="H134" s="100">
        <f>IF($B134=0,0,G134/POWER(1+'CALCULADORA TIPS Pesos E-14'!$F$11,Flujos!$B134/365))</f>
        <v>0</v>
      </c>
      <c r="I134" s="101">
        <f t="shared" si="23"/>
        <v>44308</v>
      </c>
      <c r="J134" s="65">
        <v>132</v>
      </c>
      <c r="K134" s="102">
        <f t="shared" si="27"/>
        <v>4015</v>
      </c>
      <c r="L134" s="106">
        <f t="shared" si="28"/>
        <v>1.621246337890625E-05</v>
      </c>
      <c r="M134" s="103">
        <f t="shared" si="29"/>
        <v>0</v>
      </c>
      <c r="N134" s="103">
        <f t="shared" si="30"/>
        <v>8.389949798583984E-08</v>
      </c>
      <c r="O134" s="104">
        <f t="shared" si="31"/>
        <v>8.389949798583984E-08</v>
      </c>
    </row>
    <row r="135" spans="1:15" ht="12.75">
      <c r="A135" s="95">
        <f t="shared" si="22"/>
        <v>44338</v>
      </c>
      <c r="B135" s="96">
        <f>IF(DIAS365('CALCULADORA TIPS Pesos E-14'!$E$6,A135)&lt;0,0,DIAS365('CALCULADORA TIPS Pesos E-14'!$E$6,A135))</f>
        <v>2369</v>
      </c>
      <c r="C135" s="97">
        <f>+HLOOKUP('CALCULADORA TIPS Pesos E-14'!$E$4,Tablas!$B$1:$B$181,Flujos!J135+1,FALSE)</f>
        <v>0</v>
      </c>
      <c r="D135" s="98">
        <f t="shared" si="24"/>
        <v>0</v>
      </c>
      <c r="E135" s="99">
        <f t="shared" si="25"/>
        <v>0</v>
      </c>
      <c r="F135" s="99">
        <f>ROUND(D134*ROUND(((1+'CALCULADORA TIPS Pesos E-14'!$C$14)^(1/12)-1),6),6)</f>
        <v>0</v>
      </c>
      <c r="G135" s="99">
        <f t="shared" si="26"/>
        <v>0</v>
      </c>
      <c r="H135" s="100">
        <f>IF($B135=0,0,G135/POWER(1+'CALCULADORA TIPS Pesos E-14'!$F$11,Flujos!$B135/365))</f>
        <v>0</v>
      </c>
      <c r="I135" s="101">
        <f t="shared" si="23"/>
        <v>44338</v>
      </c>
      <c r="J135" s="65">
        <v>133</v>
      </c>
      <c r="K135" s="102">
        <f t="shared" si="27"/>
        <v>4045</v>
      </c>
      <c r="L135" s="106">
        <f t="shared" si="28"/>
        <v>1.621246337890625E-05</v>
      </c>
      <c r="M135" s="103">
        <f t="shared" si="29"/>
        <v>0</v>
      </c>
      <c r="N135" s="103">
        <f t="shared" si="30"/>
        <v>8.389949798583984E-08</v>
      </c>
      <c r="O135" s="104">
        <f t="shared" si="31"/>
        <v>8.389949798583984E-08</v>
      </c>
    </row>
    <row r="136" spans="1:15" ht="12.75">
      <c r="A136" s="95">
        <f t="shared" si="22"/>
        <v>44369</v>
      </c>
      <c r="B136" s="96">
        <f>IF(DIAS365('CALCULADORA TIPS Pesos E-14'!$E$6,A136)&lt;0,0,DIAS365('CALCULADORA TIPS Pesos E-14'!$E$6,A136))</f>
        <v>2400</v>
      </c>
      <c r="C136" s="97">
        <f>+HLOOKUP('CALCULADORA TIPS Pesos E-14'!$E$4,Tablas!$B$1:$B$181,Flujos!J136+1,FALSE)</f>
        <v>0</v>
      </c>
      <c r="D136" s="98">
        <f t="shared" si="24"/>
        <v>0</v>
      </c>
      <c r="E136" s="99">
        <f t="shared" si="25"/>
        <v>0</v>
      </c>
      <c r="F136" s="99">
        <f>ROUND(D135*ROUND(((1+'CALCULADORA TIPS Pesos E-14'!$C$14)^(1/12)-1),6),6)</f>
        <v>0</v>
      </c>
      <c r="G136" s="99">
        <f t="shared" si="26"/>
        <v>0</v>
      </c>
      <c r="H136" s="100">
        <f>IF($B136=0,0,G136/POWER(1+'CALCULADORA TIPS Pesos E-14'!$F$11,Flujos!$B136/365))</f>
        <v>0</v>
      </c>
      <c r="I136" s="101">
        <f t="shared" si="23"/>
        <v>44369</v>
      </c>
      <c r="J136" s="65">
        <v>134</v>
      </c>
      <c r="K136" s="102">
        <f t="shared" si="27"/>
        <v>4076</v>
      </c>
      <c r="L136" s="106">
        <f t="shared" si="28"/>
        <v>1.621246337890625E-05</v>
      </c>
      <c r="M136" s="103">
        <f t="shared" si="29"/>
        <v>0</v>
      </c>
      <c r="N136" s="103">
        <f t="shared" si="30"/>
        <v>8.389949798583984E-08</v>
      </c>
      <c r="O136" s="104">
        <f t="shared" si="31"/>
        <v>8.389949798583984E-08</v>
      </c>
    </row>
    <row r="137" spans="1:15" ht="12.75">
      <c r="A137" s="95">
        <f t="shared" si="22"/>
        <v>44399</v>
      </c>
      <c r="B137" s="96">
        <f>IF(DIAS365('CALCULADORA TIPS Pesos E-14'!$E$6,A137)&lt;0,0,DIAS365('CALCULADORA TIPS Pesos E-14'!$E$6,A137))</f>
        <v>2430</v>
      </c>
      <c r="C137" s="97">
        <f>+HLOOKUP('CALCULADORA TIPS Pesos E-14'!$E$4,Tablas!$B$1:$B$181,Flujos!J137+1,FALSE)</f>
        <v>0</v>
      </c>
      <c r="D137" s="98">
        <f t="shared" si="24"/>
        <v>0</v>
      </c>
      <c r="E137" s="99">
        <f t="shared" si="25"/>
        <v>0</v>
      </c>
      <c r="F137" s="99">
        <f>ROUND(D136*ROUND(((1+'CALCULADORA TIPS Pesos E-14'!$C$14)^(1/12)-1),6),6)</f>
        <v>0</v>
      </c>
      <c r="G137" s="99">
        <f t="shared" si="26"/>
        <v>0</v>
      </c>
      <c r="H137" s="100">
        <f>IF($B137=0,0,G137/POWER(1+'CALCULADORA TIPS Pesos E-14'!$F$11,Flujos!$B137/365))</f>
        <v>0</v>
      </c>
      <c r="I137" s="101">
        <f t="shared" si="23"/>
        <v>44399</v>
      </c>
      <c r="J137" s="65">
        <v>135</v>
      </c>
      <c r="K137" s="102">
        <f t="shared" si="27"/>
        <v>4106</v>
      </c>
      <c r="L137" s="106">
        <f t="shared" si="28"/>
        <v>1.621246337890625E-05</v>
      </c>
      <c r="M137" s="103">
        <f t="shared" si="29"/>
        <v>0</v>
      </c>
      <c r="N137" s="103">
        <f t="shared" si="30"/>
        <v>8.389949798583984E-08</v>
      </c>
      <c r="O137" s="104">
        <f t="shared" si="31"/>
        <v>8.389949798583984E-08</v>
      </c>
    </row>
    <row r="138" spans="1:15" ht="12.75">
      <c r="A138" s="95">
        <f t="shared" si="22"/>
        <v>44430</v>
      </c>
      <c r="B138" s="96">
        <f>IF(DIAS365('CALCULADORA TIPS Pesos E-14'!$E$6,A138)&lt;0,0,DIAS365('CALCULADORA TIPS Pesos E-14'!$E$6,A138))</f>
        <v>2461</v>
      </c>
      <c r="C138" s="97">
        <f>+HLOOKUP('CALCULADORA TIPS Pesos E-14'!$E$4,Tablas!$B$1:$B$181,Flujos!J138+1,FALSE)</f>
        <v>0</v>
      </c>
      <c r="D138" s="98">
        <f t="shared" si="24"/>
        <v>0</v>
      </c>
      <c r="E138" s="99">
        <f t="shared" si="25"/>
        <v>0</v>
      </c>
      <c r="F138" s="99">
        <f>ROUND(D137*ROUND(((1+'CALCULADORA TIPS Pesos E-14'!$C$14)^(1/12)-1),6),6)</f>
        <v>0</v>
      </c>
      <c r="G138" s="99">
        <f t="shared" si="26"/>
        <v>0</v>
      </c>
      <c r="H138" s="100">
        <f>IF($B138=0,0,G138/POWER(1+'CALCULADORA TIPS Pesos E-14'!$F$11,Flujos!$B138/365))</f>
        <v>0</v>
      </c>
      <c r="I138" s="101">
        <f t="shared" si="23"/>
        <v>44430</v>
      </c>
      <c r="J138" s="65">
        <v>136</v>
      </c>
      <c r="K138" s="102">
        <f t="shared" si="27"/>
        <v>4137</v>
      </c>
      <c r="L138" s="106">
        <f t="shared" si="28"/>
        <v>1.621246337890625E-05</v>
      </c>
      <c r="M138" s="103">
        <f t="shared" si="29"/>
        <v>0</v>
      </c>
      <c r="N138" s="103">
        <f t="shared" si="30"/>
        <v>8.389949798583984E-08</v>
      </c>
      <c r="O138" s="104">
        <f t="shared" si="31"/>
        <v>8.389949798583984E-08</v>
      </c>
    </row>
    <row r="139" spans="1:15" ht="12.75">
      <c r="A139" s="95">
        <f t="shared" si="22"/>
        <v>44461</v>
      </c>
      <c r="B139" s="96">
        <f>IF(DIAS365('CALCULADORA TIPS Pesos E-14'!$E$6,A139)&lt;0,0,DIAS365('CALCULADORA TIPS Pesos E-14'!$E$6,A139))</f>
        <v>2492</v>
      </c>
      <c r="C139" s="97">
        <f>+HLOOKUP('CALCULADORA TIPS Pesos E-14'!$E$4,Tablas!$B$1:$B$181,Flujos!J139+1,FALSE)</f>
        <v>0</v>
      </c>
      <c r="D139" s="98">
        <f t="shared" si="24"/>
        <v>0</v>
      </c>
      <c r="E139" s="99">
        <f t="shared" si="25"/>
        <v>0</v>
      </c>
      <c r="F139" s="99">
        <f>ROUND(D138*ROUND(((1+'CALCULADORA TIPS Pesos E-14'!$C$14)^(1/12)-1),6),6)</f>
        <v>0</v>
      </c>
      <c r="G139" s="99">
        <f t="shared" si="26"/>
        <v>0</v>
      </c>
      <c r="H139" s="100">
        <f>IF($B139=0,0,G139/POWER(1+'CALCULADORA TIPS Pesos E-14'!$F$11,Flujos!$B139/365))</f>
        <v>0</v>
      </c>
      <c r="I139" s="101">
        <f t="shared" si="23"/>
        <v>44461</v>
      </c>
      <c r="J139" s="65">
        <v>137</v>
      </c>
      <c r="K139" s="102">
        <f t="shared" si="27"/>
        <v>4168</v>
      </c>
      <c r="L139" s="106">
        <f t="shared" si="28"/>
        <v>1.621246337890625E-05</v>
      </c>
      <c r="M139" s="103">
        <f t="shared" si="29"/>
        <v>0</v>
      </c>
      <c r="N139" s="103">
        <f t="shared" si="30"/>
        <v>8.389949798583984E-08</v>
      </c>
      <c r="O139" s="104">
        <f t="shared" si="31"/>
        <v>8.389949798583984E-08</v>
      </c>
    </row>
    <row r="140" spans="1:15" ht="12.75">
      <c r="A140" s="95">
        <f t="shared" si="22"/>
        <v>44491</v>
      </c>
      <c r="B140" s="96">
        <f>IF(DIAS365('CALCULADORA TIPS Pesos E-14'!$E$6,A140)&lt;0,0,DIAS365('CALCULADORA TIPS Pesos E-14'!$E$6,A140))</f>
        <v>2522</v>
      </c>
      <c r="C140" s="97">
        <f>+HLOOKUP('CALCULADORA TIPS Pesos E-14'!$E$4,Tablas!$B$1:$B$181,Flujos!J140+1,FALSE)</f>
        <v>0</v>
      </c>
      <c r="D140" s="98">
        <f t="shared" si="24"/>
        <v>0</v>
      </c>
      <c r="E140" s="99">
        <f t="shared" si="25"/>
        <v>0</v>
      </c>
      <c r="F140" s="99">
        <f>ROUND(D139*ROUND(((1+'CALCULADORA TIPS Pesos E-14'!$C$14)^(1/12)-1),6),6)</f>
        <v>0</v>
      </c>
      <c r="G140" s="99">
        <f t="shared" si="26"/>
        <v>0</v>
      </c>
      <c r="H140" s="100">
        <f>IF($B140=0,0,G140/POWER(1+'CALCULADORA TIPS Pesos E-14'!$F$11,Flujos!$B140/365))</f>
        <v>0</v>
      </c>
      <c r="I140" s="101">
        <f t="shared" si="23"/>
        <v>44491</v>
      </c>
      <c r="J140" s="65">
        <v>138</v>
      </c>
      <c r="K140" s="102">
        <f t="shared" si="27"/>
        <v>4198</v>
      </c>
      <c r="L140" s="106">
        <f t="shared" si="28"/>
        <v>1.621246337890625E-05</v>
      </c>
      <c r="M140" s="103">
        <f t="shared" si="29"/>
        <v>0</v>
      </c>
      <c r="N140" s="103">
        <f t="shared" si="30"/>
        <v>8.389949798583984E-08</v>
      </c>
      <c r="O140" s="104">
        <f t="shared" si="31"/>
        <v>8.389949798583984E-08</v>
      </c>
    </row>
    <row r="141" spans="1:15" ht="12.75">
      <c r="A141" s="95">
        <f t="shared" si="22"/>
        <v>44522</v>
      </c>
      <c r="B141" s="96">
        <f>IF(DIAS365('CALCULADORA TIPS Pesos E-14'!$E$6,A141)&lt;0,0,DIAS365('CALCULADORA TIPS Pesos E-14'!$E$6,A141))</f>
        <v>2553</v>
      </c>
      <c r="C141" s="97">
        <f>+HLOOKUP('CALCULADORA TIPS Pesos E-14'!$E$4,Tablas!$B$1:$B$181,Flujos!J141+1,FALSE)</f>
        <v>0</v>
      </c>
      <c r="D141" s="98">
        <f t="shared" si="24"/>
        <v>0</v>
      </c>
      <c r="E141" s="99">
        <f t="shared" si="25"/>
        <v>0</v>
      </c>
      <c r="F141" s="99">
        <f>ROUND(D140*ROUND(((1+'CALCULADORA TIPS Pesos E-14'!$C$14)^(1/12)-1),6),6)</f>
        <v>0</v>
      </c>
      <c r="G141" s="99">
        <f t="shared" si="26"/>
        <v>0</v>
      </c>
      <c r="H141" s="100">
        <f>IF($B141=0,0,G141/POWER(1+'CALCULADORA TIPS Pesos E-14'!$F$11,Flujos!$B141/365))</f>
        <v>0</v>
      </c>
      <c r="I141" s="101">
        <f t="shared" si="23"/>
        <v>44522</v>
      </c>
      <c r="J141" s="65">
        <v>139</v>
      </c>
      <c r="K141" s="102">
        <f t="shared" si="27"/>
        <v>4229</v>
      </c>
      <c r="L141" s="106">
        <f t="shared" si="28"/>
        <v>1.621246337890625E-05</v>
      </c>
      <c r="M141" s="103">
        <f t="shared" si="29"/>
        <v>0</v>
      </c>
      <c r="N141" s="103">
        <f t="shared" si="30"/>
        <v>8.389949798583984E-08</v>
      </c>
      <c r="O141" s="104">
        <f t="shared" si="31"/>
        <v>8.389949798583984E-08</v>
      </c>
    </row>
    <row r="142" spans="1:15" ht="12.75">
      <c r="A142" s="95">
        <f t="shared" si="22"/>
        <v>44552</v>
      </c>
      <c r="B142" s="96">
        <f>IF(DIAS365('CALCULADORA TIPS Pesos E-14'!$E$6,A142)&lt;0,0,DIAS365('CALCULADORA TIPS Pesos E-14'!$E$6,A142))</f>
        <v>2583</v>
      </c>
      <c r="C142" s="97">
        <f>+HLOOKUP('CALCULADORA TIPS Pesos E-14'!$E$4,Tablas!$B$1:$B$181,Flujos!J142+1,FALSE)</f>
        <v>0</v>
      </c>
      <c r="D142" s="98">
        <f t="shared" si="24"/>
        <v>0</v>
      </c>
      <c r="E142" s="99">
        <f t="shared" si="25"/>
        <v>0</v>
      </c>
      <c r="F142" s="99">
        <f>ROUND(D141*ROUND(((1+'CALCULADORA TIPS Pesos E-14'!$C$14)^(1/12)-1),6),6)</f>
        <v>0</v>
      </c>
      <c r="G142" s="99">
        <f t="shared" si="26"/>
        <v>0</v>
      </c>
      <c r="H142" s="100">
        <f>IF($B142=0,0,G142/POWER(1+'CALCULADORA TIPS Pesos E-14'!$F$11,Flujos!$B142/365))</f>
        <v>0</v>
      </c>
      <c r="I142" s="101">
        <f t="shared" si="23"/>
        <v>44552</v>
      </c>
      <c r="J142" s="65">
        <v>140</v>
      </c>
      <c r="K142" s="102">
        <f t="shared" si="27"/>
        <v>4259</v>
      </c>
      <c r="L142" s="106">
        <f t="shared" si="28"/>
        <v>1.621246337890625E-05</v>
      </c>
      <c r="M142" s="103">
        <f t="shared" si="29"/>
        <v>0</v>
      </c>
      <c r="N142" s="103">
        <f t="shared" si="30"/>
        <v>8.389949798583984E-08</v>
      </c>
      <c r="O142" s="104">
        <f t="shared" si="31"/>
        <v>8.389949798583984E-08</v>
      </c>
    </row>
    <row r="143" spans="1:15" ht="12.75">
      <c r="A143" s="95">
        <f t="shared" si="22"/>
        <v>44583</v>
      </c>
      <c r="B143" s="96">
        <f>IF(DIAS365('CALCULADORA TIPS Pesos E-14'!$E$6,A143)&lt;0,0,DIAS365('CALCULADORA TIPS Pesos E-14'!$E$6,A143))</f>
        <v>2614</v>
      </c>
      <c r="C143" s="97">
        <f>+HLOOKUP('CALCULADORA TIPS Pesos E-14'!$E$4,Tablas!$B$1:$B$181,Flujos!J143+1,FALSE)</f>
        <v>0</v>
      </c>
      <c r="D143" s="98">
        <f t="shared" si="24"/>
        <v>0</v>
      </c>
      <c r="E143" s="99">
        <f t="shared" si="25"/>
        <v>0</v>
      </c>
      <c r="F143" s="99">
        <f>ROUND(D142*ROUND(((1+'CALCULADORA TIPS Pesos E-14'!$C$14)^(1/12)-1),6),6)</f>
        <v>0</v>
      </c>
      <c r="G143" s="99">
        <f t="shared" si="26"/>
        <v>0</v>
      </c>
      <c r="H143" s="100">
        <f>IF($B143=0,0,G143/POWER(1+'CALCULADORA TIPS Pesos E-14'!$F$11,Flujos!$B143/365))</f>
        <v>0</v>
      </c>
      <c r="I143" s="101">
        <f t="shared" si="23"/>
        <v>44583</v>
      </c>
      <c r="J143" s="65">
        <v>141</v>
      </c>
      <c r="K143" s="102">
        <f t="shared" si="27"/>
        <v>4290</v>
      </c>
      <c r="L143" s="106">
        <f t="shared" si="28"/>
        <v>1.621246337890625E-05</v>
      </c>
      <c r="M143" s="103">
        <f t="shared" si="29"/>
        <v>0</v>
      </c>
      <c r="N143" s="103">
        <f t="shared" si="30"/>
        <v>8.389949798583984E-08</v>
      </c>
      <c r="O143" s="104">
        <f t="shared" si="31"/>
        <v>8.389949798583984E-08</v>
      </c>
    </row>
    <row r="144" spans="1:15" ht="12.75">
      <c r="A144" s="95">
        <f t="shared" si="22"/>
        <v>44614</v>
      </c>
      <c r="B144" s="96">
        <f>IF(DIAS365('CALCULADORA TIPS Pesos E-14'!$E$6,A144)&lt;0,0,DIAS365('CALCULADORA TIPS Pesos E-14'!$E$6,A144))</f>
        <v>2645</v>
      </c>
      <c r="C144" s="97">
        <f>+HLOOKUP('CALCULADORA TIPS Pesos E-14'!$E$4,Tablas!$B$1:$B$181,Flujos!J144+1,FALSE)</f>
        <v>0</v>
      </c>
      <c r="D144" s="98">
        <f t="shared" si="24"/>
        <v>0</v>
      </c>
      <c r="E144" s="99">
        <f t="shared" si="25"/>
        <v>0</v>
      </c>
      <c r="F144" s="99">
        <f>ROUND(D143*ROUND(((1+'CALCULADORA TIPS Pesos E-14'!$C$14)^(1/12)-1),6),6)</f>
        <v>0</v>
      </c>
      <c r="G144" s="99">
        <f t="shared" si="26"/>
        <v>0</v>
      </c>
      <c r="H144" s="100">
        <f>IF($B144=0,0,G144/POWER(1+'CALCULADORA TIPS Pesos E-14'!$F$11,Flujos!$B144/365))</f>
        <v>0</v>
      </c>
      <c r="I144" s="101">
        <f t="shared" si="23"/>
        <v>44614</v>
      </c>
      <c r="J144" s="65">
        <v>142</v>
      </c>
      <c r="K144" s="102">
        <f t="shared" si="27"/>
        <v>4321</v>
      </c>
      <c r="L144" s="106">
        <f t="shared" si="28"/>
        <v>1.621246337890625E-05</v>
      </c>
      <c r="M144" s="103">
        <f t="shared" si="29"/>
        <v>0</v>
      </c>
      <c r="N144" s="103">
        <f t="shared" si="30"/>
        <v>8.389949798583984E-08</v>
      </c>
      <c r="O144" s="104">
        <f t="shared" si="31"/>
        <v>8.389949798583984E-08</v>
      </c>
    </row>
    <row r="145" spans="1:15" ht="12.75">
      <c r="A145" s="95">
        <f t="shared" si="22"/>
        <v>44642</v>
      </c>
      <c r="B145" s="96">
        <f>IF(DIAS365('CALCULADORA TIPS Pesos E-14'!$E$6,A145)&lt;0,0,DIAS365('CALCULADORA TIPS Pesos E-14'!$E$6,A145))</f>
        <v>2673</v>
      </c>
      <c r="C145" s="97">
        <f>+HLOOKUP('CALCULADORA TIPS Pesos E-14'!$E$4,Tablas!$B$1:$B$181,Flujos!J145+1,FALSE)</f>
        <v>0</v>
      </c>
      <c r="D145" s="98">
        <f t="shared" si="24"/>
        <v>0</v>
      </c>
      <c r="E145" s="99">
        <f t="shared" si="25"/>
        <v>0</v>
      </c>
      <c r="F145" s="99">
        <f>ROUND(D144*ROUND(((1+'CALCULADORA TIPS Pesos E-14'!$C$14)^(1/12)-1),6),6)</f>
        <v>0</v>
      </c>
      <c r="G145" s="99">
        <f t="shared" si="26"/>
        <v>0</v>
      </c>
      <c r="H145" s="100">
        <f>IF($B145=0,0,G145/POWER(1+'CALCULADORA TIPS Pesos E-14'!$F$11,Flujos!$B145/365))</f>
        <v>0</v>
      </c>
      <c r="I145" s="101">
        <f t="shared" si="23"/>
        <v>44642</v>
      </c>
      <c r="J145" s="65">
        <v>143</v>
      </c>
      <c r="K145" s="102">
        <f t="shared" si="27"/>
        <v>4349</v>
      </c>
      <c r="L145" s="106">
        <f t="shared" si="28"/>
        <v>1.621246337890625E-05</v>
      </c>
      <c r="M145" s="103">
        <f t="shared" si="29"/>
        <v>0</v>
      </c>
      <c r="N145" s="103">
        <f t="shared" si="30"/>
        <v>8.389949798583984E-08</v>
      </c>
      <c r="O145" s="104">
        <f t="shared" si="31"/>
        <v>8.389949798583984E-08</v>
      </c>
    </row>
    <row r="146" spans="1:15" ht="12.75">
      <c r="A146" s="95">
        <f t="shared" si="22"/>
        <v>44673</v>
      </c>
      <c r="B146" s="96">
        <f>IF(DIAS365('CALCULADORA TIPS Pesos E-14'!$E$6,A146)&lt;0,0,DIAS365('CALCULADORA TIPS Pesos E-14'!$E$6,A146))</f>
        <v>2704</v>
      </c>
      <c r="C146" s="97">
        <f>+HLOOKUP('CALCULADORA TIPS Pesos E-14'!$E$4,Tablas!$B$1:$B$181,Flujos!J146+1,FALSE)</f>
        <v>0</v>
      </c>
      <c r="D146" s="98">
        <f t="shared" si="24"/>
        <v>0</v>
      </c>
      <c r="E146" s="99">
        <f t="shared" si="25"/>
        <v>0</v>
      </c>
      <c r="F146" s="99">
        <f>ROUND(D145*ROUND(((1+'CALCULADORA TIPS Pesos E-14'!$C$14)^(1/12)-1),6),6)</f>
        <v>0</v>
      </c>
      <c r="G146" s="99">
        <f t="shared" si="26"/>
        <v>0</v>
      </c>
      <c r="H146" s="100">
        <f>IF($B146=0,0,G146/POWER(1+'CALCULADORA TIPS Pesos E-14'!$F$11,Flujos!$B146/365))</f>
        <v>0</v>
      </c>
      <c r="I146" s="101">
        <f t="shared" si="23"/>
        <v>44673</v>
      </c>
      <c r="J146" s="65">
        <v>144</v>
      </c>
      <c r="K146" s="102">
        <f t="shared" si="27"/>
        <v>4380</v>
      </c>
      <c r="L146" s="106">
        <f t="shared" si="28"/>
        <v>1.621246337890625E-05</v>
      </c>
      <c r="M146" s="103">
        <f t="shared" si="29"/>
        <v>0</v>
      </c>
      <c r="N146" s="103">
        <f t="shared" si="30"/>
        <v>8.389949798583984E-08</v>
      </c>
      <c r="O146" s="104">
        <f t="shared" si="31"/>
        <v>8.389949798583984E-08</v>
      </c>
    </row>
    <row r="147" spans="1:15" ht="12.75">
      <c r="A147" s="95">
        <f t="shared" si="22"/>
        <v>44703</v>
      </c>
      <c r="B147" s="96">
        <f>IF(DIAS365('CALCULADORA TIPS Pesos E-14'!$E$6,A147)&lt;0,0,DIAS365('CALCULADORA TIPS Pesos E-14'!$E$6,A147))</f>
        <v>2734</v>
      </c>
      <c r="C147" s="97">
        <f>+HLOOKUP('CALCULADORA TIPS Pesos E-14'!$E$4,Tablas!$B$1:$B$181,Flujos!J147+1,FALSE)</f>
        <v>0</v>
      </c>
      <c r="D147" s="98">
        <f t="shared" si="24"/>
        <v>0</v>
      </c>
      <c r="E147" s="99">
        <f t="shared" si="25"/>
        <v>0</v>
      </c>
      <c r="F147" s="99">
        <f>ROUND(D146*ROUND(((1+'CALCULADORA TIPS Pesos E-14'!$C$14)^(1/12)-1),6),6)</f>
        <v>0</v>
      </c>
      <c r="G147" s="99">
        <f t="shared" si="26"/>
        <v>0</v>
      </c>
      <c r="H147" s="100">
        <f>IF($B147=0,0,G147/POWER(1+'CALCULADORA TIPS Pesos E-14'!$F$11,Flujos!$B147/365))</f>
        <v>0</v>
      </c>
      <c r="I147" s="101">
        <f t="shared" si="23"/>
        <v>44703</v>
      </c>
      <c r="J147" s="65">
        <v>145</v>
      </c>
      <c r="K147" s="102">
        <f t="shared" si="27"/>
        <v>4410</v>
      </c>
      <c r="L147" s="106">
        <f t="shared" si="28"/>
        <v>1.621246337890625E-05</v>
      </c>
      <c r="M147" s="103">
        <f t="shared" si="29"/>
        <v>0</v>
      </c>
      <c r="N147" s="103">
        <f t="shared" si="30"/>
        <v>8.389949798583984E-08</v>
      </c>
      <c r="O147" s="104">
        <f t="shared" si="31"/>
        <v>8.389949798583984E-08</v>
      </c>
    </row>
    <row r="148" spans="1:15" ht="12.75">
      <c r="A148" s="95">
        <f t="shared" si="22"/>
        <v>44734</v>
      </c>
      <c r="B148" s="96">
        <f>IF(DIAS365('CALCULADORA TIPS Pesos E-14'!$E$6,A148)&lt;0,0,DIAS365('CALCULADORA TIPS Pesos E-14'!$E$6,A148))</f>
        <v>2765</v>
      </c>
      <c r="C148" s="97">
        <f>+HLOOKUP('CALCULADORA TIPS Pesos E-14'!$E$4,Tablas!$B$1:$B$181,Flujos!J148+1,FALSE)</f>
        <v>0</v>
      </c>
      <c r="D148" s="98">
        <f t="shared" si="24"/>
        <v>0</v>
      </c>
      <c r="E148" s="99">
        <f t="shared" si="25"/>
        <v>0</v>
      </c>
      <c r="F148" s="99">
        <f>ROUND(D147*ROUND(((1+'CALCULADORA TIPS Pesos E-14'!$C$14)^(1/12)-1),6),6)</f>
        <v>0</v>
      </c>
      <c r="G148" s="99">
        <f t="shared" si="26"/>
        <v>0</v>
      </c>
      <c r="H148" s="100">
        <f>IF($B148=0,0,G148/POWER(1+'CALCULADORA TIPS Pesos E-14'!$F$11,Flujos!$B148/365))</f>
        <v>0</v>
      </c>
      <c r="I148" s="101">
        <f t="shared" si="23"/>
        <v>44734</v>
      </c>
      <c r="J148" s="65">
        <v>146</v>
      </c>
      <c r="K148" s="102">
        <f t="shared" si="27"/>
        <v>4441</v>
      </c>
      <c r="L148" s="106">
        <f t="shared" si="28"/>
        <v>1.621246337890625E-05</v>
      </c>
      <c r="M148" s="103">
        <f t="shared" si="29"/>
        <v>0</v>
      </c>
      <c r="N148" s="103">
        <f t="shared" si="30"/>
        <v>8.389949798583984E-08</v>
      </c>
      <c r="O148" s="104">
        <f t="shared" si="31"/>
        <v>8.389949798583984E-08</v>
      </c>
    </row>
    <row r="149" spans="1:15" ht="12.75">
      <c r="A149" s="95">
        <f t="shared" si="22"/>
        <v>44764</v>
      </c>
      <c r="B149" s="96">
        <f>IF(DIAS365('CALCULADORA TIPS Pesos E-14'!$E$6,A149)&lt;0,0,DIAS365('CALCULADORA TIPS Pesos E-14'!$E$6,A149))</f>
        <v>2795</v>
      </c>
      <c r="C149" s="97">
        <f>+HLOOKUP('CALCULADORA TIPS Pesos E-14'!$E$4,Tablas!$B$1:$B$181,Flujos!J149+1,FALSE)</f>
        <v>0</v>
      </c>
      <c r="D149" s="98">
        <f t="shared" si="24"/>
        <v>0</v>
      </c>
      <c r="E149" s="99">
        <f t="shared" si="25"/>
        <v>0</v>
      </c>
      <c r="F149" s="99">
        <f>ROUND(D148*ROUND(((1+'CALCULADORA TIPS Pesos E-14'!$C$14)^(1/12)-1),6),6)</f>
        <v>0</v>
      </c>
      <c r="G149" s="99">
        <f t="shared" si="26"/>
        <v>0</v>
      </c>
      <c r="H149" s="100">
        <f>IF($B149=0,0,G149/POWER(1+'CALCULADORA TIPS Pesos E-14'!$F$11,Flujos!$B149/365))</f>
        <v>0</v>
      </c>
      <c r="I149" s="101">
        <f t="shared" si="23"/>
        <v>44764</v>
      </c>
      <c r="J149" s="65">
        <v>147</v>
      </c>
      <c r="K149" s="102">
        <f t="shared" si="27"/>
        <v>4471</v>
      </c>
      <c r="L149" s="106">
        <f t="shared" si="28"/>
        <v>1.621246337890625E-05</v>
      </c>
      <c r="M149" s="103">
        <f t="shared" si="29"/>
        <v>0</v>
      </c>
      <c r="N149" s="103">
        <f t="shared" si="30"/>
        <v>8.389949798583984E-08</v>
      </c>
      <c r="O149" s="104">
        <f t="shared" si="31"/>
        <v>8.389949798583984E-08</v>
      </c>
    </row>
    <row r="150" spans="1:15" ht="12.75">
      <c r="A150" s="95">
        <f t="shared" si="22"/>
        <v>44795</v>
      </c>
      <c r="B150" s="96">
        <f>IF(DIAS365('CALCULADORA TIPS Pesos E-14'!$E$6,A150)&lt;0,0,DIAS365('CALCULADORA TIPS Pesos E-14'!$E$6,A150))</f>
        <v>2826</v>
      </c>
      <c r="C150" s="97">
        <f>+HLOOKUP('CALCULADORA TIPS Pesos E-14'!$E$4,Tablas!$B$1:$B$181,Flujos!J150+1,FALSE)</f>
        <v>0</v>
      </c>
      <c r="D150" s="98">
        <f t="shared" si="24"/>
        <v>0</v>
      </c>
      <c r="E150" s="99">
        <f t="shared" si="25"/>
        <v>0</v>
      </c>
      <c r="F150" s="99">
        <f>ROUND(D149*ROUND(((1+'CALCULADORA TIPS Pesos E-14'!$C$14)^(1/12)-1),6),6)</f>
        <v>0</v>
      </c>
      <c r="G150" s="99">
        <f t="shared" si="26"/>
        <v>0</v>
      </c>
      <c r="H150" s="100">
        <f>IF($B150=0,0,G150/POWER(1+'CALCULADORA TIPS Pesos E-14'!$F$11,Flujos!$B150/365))</f>
        <v>0</v>
      </c>
      <c r="I150" s="101">
        <f t="shared" si="23"/>
        <v>44795</v>
      </c>
      <c r="J150" s="65">
        <v>148</v>
      </c>
      <c r="K150" s="102">
        <f t="shared" si="27"/>
        <v>4502</v>
      </c>
      <c r="L150" s="106">
        <f t="shared" si="28"/>
        <v>1.621246337890625E-05</v>
      </c>
      <c r="M150" s="103">
        <f t="shared" si="29"/>
        <v>0</v>
      </c>
      <c r="N150" s="103">
        <f t="shared" si="30"/>
        <v>8.389949798583984E-08</v>
      </c>
      <c r="O150" s="104">
        <f t="shared" si="31"/>
        <v>8.389949798583984E-08</v>
      </c>
    </row>
    <row r="151" spans="1:15" ht="12.75">
      <c r="A151" s="95">
        <f t="shared" si="22"/>
        <v>44826</v>
      </c>
      <c r="B151" s="96">
        <f>IF(DIAS365('CALCULADORA TIPS Pesos E-14'!$E$6,A151)&lt;0,0,DIAS365('CALCULADORA TIPS Pesos E-14'!$E$6,A151))</f>
        <v>2857</v>
      </c>
      <c r="C151" s="97">
        <f>+HLOOKUP('CALCULADORA TIPS Pesos E-14'!$E$4,Tablas!$B$1:$B$181,Flujos!J151+1,FALSE)</f>
        <v>0</v>
      </c>
      <c r="D151" s="98">
        <f t="shared" si="24"/>
        <v>0</v>
      </c>
      <c r="E151" s="99">
        <f t="shared" si="25"/>
        <v>0</v>
      </c>
      <c r="F151" s="99">
        <f>ROUND(D150*ROUND(((1+'CALCULADORA TIPS Pesos E-14'!$C$14)^(1/12)-1),6),6)</f>
        <v>0</v>
      </c>
      <c r="G151" s="99">
        <f t="shared" si="26"/>
        <v>0</v>
      </c>
      <c r="H151" s="100">
        <f>IF($B151=0,0,G151/POWER(1+'CALCULADORA TIPS Pesos E-14'!$F$11,Flujos!$B151/365))</f>
        <v>0</v>
      </c>
      <c r="I151" s="101">
        <f t="shared" si="23"/>
        <v>44826</v>
      </c>
      <c r="J151" s="65">
        <v>149</v>
      </c>
      <c r="K151" s="102">
        <f t="shared" si="27"/>
        <v>4533</v>
      </c>
      <c r="L151" s="106">
        <f t="shared" si="28"/>
        <v>1.621246337890625E-05</v>
      </c>
      <c r="M151" s="103">
        <f t="shared" si="29"/>
        <v>0</v>
      </c>
      <c r="N151" s="103">
        <f t="shared" si="30"/>
        <v>8.389949798583984E-08</v>
      </c>
      <c r="O151" s="104">
        <f t="shared" si="31"/>
        <v>8.389949798583984E-08</v>
      </c>
    </row>
    <row r="152" spans="1:15" ht="12.75">
      <c r="A152" s="95">
        <f t="shared" si="22"/>
        <v>44856</v>
      </c>
      <c r="B152" s="96">
        <f>IF(DIAS365('CALCULADORA TIPS Pesos E-14'!$E$6,A152)&lt;0,0,DIAS365('CALCULADORA TIPS Pesos E-14'!$E$6,A152))</f>
        <v>2887</v>
      </c>
      <c r="C152" s="97">
        <f>+HLOOKUP('CALCULADORA TIPS Pesos E-14'!$E$4,Tablas!$B$1:$B$181,Flujos!J152+1,FALSE)</f>
        <v>0</v>
      </c>
      <c r="D152" s="98">
        <f t="shared" si="24"/>
        <v>0</v>
      </c>
      <c r="E152" s="99">
        <f t="shared" si="25"/>
        <v>0</v>
      </c>
      <c r="F152" s="99">
        <f>ROUND(D151*ROUND(((1+'CALCULADORA TIPS Pesos E-14'!$C$14)^(1/12)-1),6),6)</f>
        <v>0</v>
      </c>
      <c r="G152" s="99">
        <f t="shared" si="26"/>
        <v>0</v>
      </c>
      <c r="H152" s="100">
        <f>IF($B152=0,0,G152/POWER(1+'CALCULADORA TIPS Pesos E-14'!$F$11,Flujos!$B152/365))</f>
        <v>0</v>
      </c>
      <c r="I152" s="101">
        <f t="shared" si="23"/>
        <v>44856</v>
      </c>
      <c r="J152" s="65">
        <v>150</v>
      </c>
      <c r="K152" s="102">
        <f t="shared" si="27"/>
        <v>4563</v>
      </c>
      <c r="L152" s="106">
        <f t="shared" si="28"/>
        <v>1.621246337890625E-05</v>
      </c>
      <c r="M152" s="103">
        <f t="shared" si="29"/>
        <v>0</v>
      </c>
      <c r="N152" s="103">
        <f t="shared" si="30"/>
        <v>8.389949798583984E-08</v>
      </c>
      <c r="O152" s="104">
        <f t="shared" si="31"/>
        <v>8.389949798583984E-08</v>
      </c>
    </row>
    <row r="153" spans="1:15" ht="12.75">
      <c r="A153" s="95">
        <f t="shared" si="22"/>
        <v>44887</v>
      </c>
      <c r="B153" s="96">
        <f>IF(DIAS365('CALCULADORA TIPS Pesos E-14'!$E$6,A153)&lt;0,0,DIAS365('CALCULADORA TIPS Pesos E-14'!$E$6,A153))</f>
        <v>2918</v>
      </c>
      <c r="C153" s="97">
        <f>+HLOOKUP('CALCULADORA TIPS Pesos E-14'!$E$4,Tablas!$B$1:$B$181,Flujos!J153+1,FALSE)</f>
        <v>0</v>
      </c>
      <c r="D153" s="98">
        <f t="shared" si="24"/>
        <v>0</v>
      </c>
      <c r="E153" s="99">
        <f t="shared" si="25"/>
        <v>0</v>
      </c>
      <c r="F153" s="99">
        <f>ROUND(D152*ROUND(((1+'CALCULADORA TIPS Pesos E-14'!$C$14)^(1/12)-1),6),6)</f>
        <v>0</v>
      </c>
      <c r="G153" s="99">
        <f t="shared" si="26"/>
        <v>0</v>
      </c>
      <c r="H153" s="100">
        <f>IF($B153=0,0,G153/POWER(1+'CALCULADORA TIPS Pesos E-14'!$F$11,Flujos!$B153/365))</f>
        <v>0</v>
      </c>
      <c r="I153" s="101">
        <f t="shared" si="23"/>
        <v>44887</v>
      </c>
      <c r="J153" s="65">
        <v>151</v>
      </c>
      <c r="K153" s="102">
        <f t="shared" si="27"/>
        <v>4594</v>
      </c>
      <c r="L153" s="106">
        <f t="shared" si="28"/>
        <v>1.621246337890625E-05</v>
      </c>
      <c r="M153" s="103">
        <f t="shared" si="29"/>
        <v>0</v>
      </c>
      <c r="N153" s="103">
        <f t="shared" si="30"/>
        <v>8.389949798583984E-08</v>
      </c>
      <c r="O153" s="104">
        <f t="shared" si="31"/>
        <v>8.389949798583984E-08</v>
      </c>
    </row>
    <row r="154" spans="1:15" ht="12.75">
      <c r="A154" s="95">
        <f t="shared" si="22"/>
        <v>44917</v>
      </c>
      <c r="B154" s="96">
        <f>IF(DIAS365('CALCULADORA TIPS Pesos E-14'!$E$6,A154)&lt;0,0,DIAS365('CALCULADORA TIPS Pesos E-14'!$E$6,A154))</f>
        <v>2948</v>
      </c>
      <c r="C154" s="97">
        <f>+HLOOKUP('CALCULADORA TIPS Pesos E-14'!$E$4,Tablas!$B$1:$B$181,Flujos!J154+1,FALSE)</f>
        <v>0</v>
      </c>
      <c r="D154" s="98">
        <f t="shared" si="24"/>
        <v>0</v>
      </c>
      <c r="E154" s="99">
        <f t="shared" si="25"/>
        <v>0</v>
      </c>
      <c r="F154" s="99">
        <f>ROUND(D153*ROUND(((1+'CALCULADORA TIPS Pesos E-14'!$C$14)^(1/12)-1),6),6)</f>
        <v>0</v>
      </c>
      <c r="G154" s="99">
        <f t="shared" si="26"/>
        <v>0</v>
      </c>
      <c r="H154" s="100">
        <f>IF($B154=0,0,G154/POWER(1+'CALCULADORA TIPS Pesos E-14'!$F$11,Flujos!$B154/365))</f>
        <v>0</v>
      </c>
      <c r="I154" s="101">
        <f t="shared" si="23"/>
        <v>44917</v>
      </c>
      <c r="J154" s="65">
        <v>152</v>
      </c>
      <c r="K154" s="102">
        <f t="shared" si="27"/>
        <v>4624</v>
      </c>
      <c r="L154" s="106">
        <f t="shared" si="28"/>
        <v>1.621246337890625E-05</v>
      </c>
      <c r="M154" s="103">
        <f t="shared" si="29"/>
        <v>0</v>
      </c>
      <c r="N154" s="103">
        <f t="shared" si="30"/>
        <v>8.389949798583984E-08</v>
      </c>
      <c r="O154" s="104">
        <f t="shared" si="31"/>
        <v>8.389949798583984E-08</v>
      </c>
    </row>
    <row r="155" spans="1:15" ht="12.75">
      <c r="A155" s="95">
        <f t="shared" si="22"/>
        <v>44948</v>
      </c>
      <c r="B155" s="96">
        <f>IF(DIAS365('CALCULADORA TIPS Pesos E-14'!$E$6,A155)&lt;0,0,DIAS365('CALCULADORA TIPS Pesos E-14'!$E$6,A155))</f>
        <v>2979</v>
      </c>
      <c r="C155" s="97">
        <f>+HLOOKUP('CALCULADORA TIPS Pesos E-14'!$E$4,Tablas!$B$1:$B$181,Flujos!J155+1,FALSE)</f>
        <v>0</v>
      </c>
      <c r="D155" s="98">
        <f t="shared" si="24"/>
        <v>0</v>
      </c>
      <c r="E155" s="99">
        <f t="shared" si="25"/>
        <v>0</v>
      </c>
      <c r="F155" s="99">
        <f>ROUND(D154*ROUND(((1+'CALCULADORA TIPS Pesos E-14'!$C$14)^(1/12)-1),6),6)</f>
        <v>0</v>
      </c>
      <c r="G155" s="99">
        <f t="shared" si="26"/>
        <v>0</v>
      </c>
      <c r="H155" s="100">
        <f>IF($B155=0,0,G155/POWER(1+'CALCULADORA TIPS Pesos E-14'!$F$11,Flujos!$B155/365))</f>
        <v>0</v>
      </c>
      <c r="I155" s="101">
        <f t="shared" si="23"/>
        <v>44948</v>
      </c>
      <c r="J155" s="65">
        <v>153</v>
      </c>
      <c r="K155" s="102">
        <f t="shared" si="27"/>
        <v>4655</v>
      </c>
      <c r="L155" s="106">
        <f t="shared" si="28"/>
        <v>1.621246337890625E-05</v>
      </c>
      <c r="M155" s="103">
        <f t="shared" si="29"/>
        <v>0</v>
      </c>
      <c r="N155" s="103">
        <f t="shared" si="30"/>
        <v>8.389949798583984E-08</v>
      </c>
      <c r="O155" s="104">
        <f t="shared" si="31"/>
        <v>8.389949798583984E-08</v>
      </c>
    </row>
    <row r="156" spans="1:15" ht="12.75">
      <c r="A156" s="95">
        <f t="shared" si="22"/>
        <v>44979</v>
      </c>
      <c r="B156" s="96">
        <f>IF(DIAS365('CALCULADORA TIPS Pesos E-14'!$E$6,A156)&lt;0,0,DIAS365('CALCULADORA TIPS Pesos E-14'!$E$6,A156))</f>
        <v>3010</v>
      </c>
      <c r="C156" s="97">
        <f>+HLOOKUP('CALCULADORA TIPS Pesos E-14'!$E$4,Tablas!$B$1:$B$181,Flujos!J156+1,FALSE)</f>
        <v>0</v>
      </c>
      <c r="D156" s="98">
        <f t="shared" si="24"/>
        <v>0</v>
      </c>
      <c r="E156" s="99">
        <f t="shared" si="25"/>
        <v>0</v>
      </c>
      <c r="F156" s="99">
        <f>ROUND(D155*ROUND(((1+'CALCULADORA TIPS Pesos E-14'!$C$14)^(1/12)-1),6),6)</f>
        <v>0</v>
      </c>
      <c r="G156" s="99">
        <f t="shared" si="26"/>
        <v>0</v>
      </c>
      <c r="H156" s="100">
        <f>IF($B156=0,0,G156/POWER(1+'CALCULADORA TIPS Pesos E-14'!$F$11,Flujos!$B156/365))</f>
        <v>0</v>
      </c>
      <c r="I156" s="101">
        <f t="shared" si="23"/>
        <v>44979</v>
      </c>
      <c r="J156" s="65">
        <v>154</v>
      </c>
      <c r="K156" s="102">
        <f t="shared" si="27"/>
        <v>4686</v>
      </c>
      <c r="L156" s="106">
        <f t="shared" si="28"/>
        <v>1.621246337890625E-05</v>
      </c>
      <c r="M156" s="103">
        <f t="shared" si="29"/>
        <v>0</v>
      </c>
      <c r="N156" s="103">
        <f t="shared" si="30"/>
        <v>8.389949798583984E-08</v>
      </c>
      <c r="O156" s="104">
        <f t="shared" si="31"/>
        <v>8.389949798583984E-08</v>
      </c>
    </row>
    <row r="157" spans="1:15" ht="12.75">
      <c r="A157" s="95">
        <f t="shared" si="22"/>
        <v>45007</v>
      </c>
      <c r="B157" s="96">
        <f>IF(DIAS365('CALCULADORA TIPS Pesos E-14'!$E$6,A157)&lt;0,0,DIAS365('CALCULADORA TIPS Pesos E-14'!$E$6,A157))</f>
        <v>3038</v>
      </c>
      <c r="C157" s="97">
        <f>+HLOOKUP('CALCULADORA TIPS Pesos E-14'!$E$4,Tablas!$B$1:$B$181,Flujos!J157+1,FALSE)</f>
        <v>0</v>
      </c>
      <c r="D157" s="98">
        <f t="shared" si="24"/>
        <v>0</v>
      </c>
      <c r="E157" s="99">
        <f t="shared" si="25"/>
        <v>0</v>
      </c>
      <c r="F157" s="99">
        <f>ROUND(D156*ROUND(((1+'CALCULADORA TIPS Pesos E-14'!$C$14)^(1/12)-1),6),6)</f>
        <v>0</v>
      </c>
      <c r="G157" s="99">
        <f t="shared" si="26"/>
        <v>0</v>
      </c>
      <c r="H157" s="100">
        <f>IF($B157=0,0,G157/POWER(1+'CALCULADORA TIPS Pesos E-14'!$F$11,Flujos!$B157/365))</f>
        <v>0</v>
      </c>
      <c r="I157" s="101">
        <f t="shared" si="23"/>
        <v>45007</v>
      </c>
      <c r="J157" s="65">
        <v>155</v>
      </c>
      <c r="K157" s="102">
        <f t="shared" si="27"/>
        <v>4714</v>
      </c>
      <c r="L157" s="106">
        <f t="shared" si="28"/>
        <v>1.621246337890625E-05</v>
      </c>
      <c r="M157" s="103">
        <f t="shared" si="29"/>
        <v>0</v>
      </c>
      <c r="N157" s="103">
        <f t="shared" si="30"/>
        <v>8.389949798583984E-08</v>
      </c>
      <c r="O157" s="104">
        <f t="shared" si="31"/>
        <v>8.389949798583984E-08</v>
      </c>
    </row>
    <row r="158" spans="1:15" ht="12.75">
      <c r="A158" s="95">
        <f t="shared" si="22"/>
        <v>45038</v>
      </c>
      <c r="B158" s="96">
        <f>IF(DIAS365('CALCULADORA TIPS Pesos E-14'!$E$6,A158)&lt;0,0,DIAS365('CALCULADORA TIPS Pesos E-14'!$E$6,A158))</f>
        <v>3069</v>
      </c>
      <c r="C158" s="97">
        <f>+HLOOKUP('CALCULADORA TIPS Pesos E-14'!$E$4,Tablas!$B$1:$B$181,Flujos!J158+1,FALSE)</f>
        <v>0</v>
      </c>
      <c r="D158" s="98">
        <f t="shared" si="24"/>
        <v>0</v>
      </c>
      <c r="E158" s="99">
        <f t="shared" si="25"/>
        <v>0</v>
      </c>
      <c r="F158" s="99">
        <f>ROUND(D157*ROUND(((1+'CALCULADORA TIPS Pesos E-14'!$C$14)^(1/12)-1),6),6)</f>
        <v>0</v>
      </c>
      <c r="G158" s="99">
        <f t="shared" si="26"/>
        <v>0</v>
      </c>
      <c r="H158" s="100">
        <f>IF($B158=0,0,G158/POWER(1+'CALCULADORA TIPS Pesos E-14'!$F$11,Flujos!$B158/365))</f>
        <v>0</v>
      </c>
      <c r="I158" s="101">
        <f t="shared" si="23"/>
        <v>45038</v>
      </c>
      <c r="J158" s="65">
        <v>156</v>
      </c>
      <c r="K158" s="102">
        <f t="shared" si="27"/>
        <v>4745</v>
      </c>
      <c r="L158" s="106">
        <f t="shared" si="28"/>
        <v>1.621246337890625E-05</v>
      </c>
      <c r="M158" s="103">
        <f t="shared" si="29"/>
        <v>0</v>
      </c>
      <c r="N158" s="103">
        <f t="shared" si="30"/>
        <v>8.389949798583984E-08</v>
      </c>
      <c r="O158" s="104">
        <f t="shared" si="31"/>
        <v>8.389949798583984E-08</v>
      </c>
    </row>
    <row r="159" spans="1:15" ht="12.75">
      <c r="A159" s="95">
        <f t="shared" si="22"/>
        <v>45068</v>
      </c>
      <c r="B159" s="96">
        <f>IF(DIAS365('CALCULADORA TIPS Pesos E-14'!$E$6,A159)&lt;0,0,DIAS365('CALCULADORA TIPS Pesos E-14'!$E$6,A159))</f>
        <v>3099</v>
      </c>
      <c r="C159" s="97">
        <f>+HLOOKUP('CALCULADORA TIPS Pesos E-14'!$E$4,Tablas!$B$1:$B$181,Flujos!J159+1,FALSE)</f>
        <v>0</v>
      </c>
      <c r="D159" s="98">
        <f t="shared" si="24"/>
        <v>0</v>
      </c>
      <c r="E159" s="99">
        <f t="shared" si="25"/>
        <v>0</v>
      </c>
      <c r="F159" s="99">
        <f>ROUND(D158*ROUND(((1+'CALCULADORA TIPS Pesos E-14'!$C$14)^(1/12)-1),6),6)</f>
        <v>0</v>
      </c>
      <c r="G159" s="99">
        <f t="shared" si="26"/>
        <v>0</v>
      </c>
      <c r="H159" s="100">
        <f>IF($B159=0,0,G159/POWER(1+'CALCULADORA TIPS Pesos E-14'!$F$11,Flujos!$B159/365))</f>
        <v>0</v>
      </c>
      <c r="I159" s="101">
        <f t="shared" si="23"/>
        <v>45068</v>
      </c>
      <c r="J159" s="65">
        <v>157</v>
      </c>
      <c r="K159" s="102">
        <f t="shared" si="27"/>
        <v>4775</v>
      </c>
      <c r="L159" s="106">
        <f t="shared" si="28"/>
        <v>1.621246337890625E-05</v>
      </c>
      <c r="M159" s="103">
        <f t="shared" si="29"/>
        <v>0</v>
      </c>
      <c r="N159" s="103">
        <f t="shared" si="30"/>
        <v>8.389949798583984E-08</v>
      </c>
      <c r="O159" s="104">
        <f t="shared" si="31"/>
        <v>8.389949798583984E-08</v>
      </c>
    </row>
    <row r="160" spans="1:15" ht="12.75">
      <c r="A160" s="95">
        <f t="shared" si="22"/>
        <v>45099</v>
      </c>
      <c r="B160" s="96">
        <f>IF(DIAS365('CALCULADORA TIPS Pesos E-14'!$E$6,A160)&lt;0,0,DIAS365('CALCULADORA TIPS Pesos E-14'!$E$6,A160))</f>
        <v>3130</v>
      </c>
      <c r="C160" s="97">
        <f>+HLOOKUP('CALCULADORA TIPS Pesos E-14'!$E$4,Tablas!$B$1:$B$181,Flujos!J160+1,FALSE)</f>
        <v>0</v>
      </c>
      <c r="D160" s="98">
        <f t="shared" si="24"/>
        <v>0</v>
      </c>
      <c r="E160" s="99">
        <f t="shared" si="25"/>
        <v>0</v>
      </c>
      <c r="F160" s="99">
        <f>ROUND(D159*ROUND(((1+'CALCULADORA TIPS Pesos E-14'!$C$14)^(1/12)-1),6),6)</f>
        <v>0</v>
      </c>
      <c r="G160" s="99">
        <f t="shared" si="26"/>
        <v>0</v>
      </c>
      <c r="H160" s="100">
        <f>IF($B160=0,0,G160/POWER(1+'CALCULADORA TIPS Pesos E-14'!$F$11,Flujos!$B160/365))</f>
        <v>0</v>
      </c>
      <c r="I160" s="101">
        <f t="shared" si="23"/>
        <v>45099</v>
      </c>
      <c r="J160" s="65">
        <v>158</v>
      </c>
      <c r="K160" s="102">
        <f t="shared" si="27"/>
        <v>4806</v>
      </c>
      <c r="L160" s="106">
        <f t="shared" si="28"/>
        <v>1.621246337890625E-05</v>
      </c>
      <c r="M160" s="103">
        <f t="shared" si="29"/>
        <v>0</v>
      </c>
      <c r="N160" s="103">
        <f t="shared" si="30"/>
        <v>8.389949798583984E-08</v>
      </c>
      <c r="O160" s="104">
        <f t="shared" si="31"/>
        <v>8.389949798583984E-08</v>
      </c>
    </row>
    <row r="161" spans="1:15" ht="12.75">
      <c r="A161" s="95">
        <f t="shared" si="22"/>
        <v>45129</v>
      </c>
      <c r="B161" s="96">
        <f>IF(DIAS365('CALCULADORA TIPS Pesos E-14'!$E$6,A161)&lt;0,0,DIAS365('CALCULADORA TIPS Pesos E-14'!$E$6,A161))</f>
        <v>3160</v>
      </c>
      <c r="C161" s="97">
        <f>+HLOOKUP('CALCULADORA TIPS Pesos E-14'!$E$4,Tablas!$B$1:$B$181,Flujos!J161+1,FALSE)</f>
        <v>0</v>
      </c>
      <c r="D161" s="98">
        <f t="shared" si="24"/>
        <v>0</v>
      </c>
      <c r="E161" s="99">
        <f t="shared" si="25"/>
        <v>0</v>
      </c>
      <c r="F161" s="99">
        <f>ROUND(D160*ROUND(((1+'CALCULADORA TIPS Pesos E-14'!$C$14)^(1/12)-1),6),6)</f>
        <v>0</v>
      </c>
      <c r="G161" s="99">
        <f t="shared" si="26"/>
        <v>0</v>
      </c>
      <c r="H161" s="100">
        <f>IF($B161=0,0,G161/POWER(1+'CALCULADORA TIPS Pesos E-14'!$F$11,Flujos!$B161/365))</f>
        <v>0</v>
      </c>
      <c r="I161" s="101">
        <f t="shared" si="23"/>
        <v>45129</v>
      </c>
      <c r="J161" s="65">
        <v>159</v>
      </c>
      <c r="K161" s="102">
        <f t="shared" si="27"/>
        <v>4836</v>
      </c>
      <c r="L161" s="106">
        <f t="shared" si="28"/>
        <v>1.621246337890625E-05</v>
      </c>
      <c r="M161" s="103">
        <f t="shared" si="29"/>
        <v>0</v>
      </c>
      <c r="N161" s="103">
        <f t="shared" si="30"/>
        <v>8.389949798583984E-08</v>
      </c>
      <c r="O161" s="104">
        <f t="shared" si="31"/>
        <v>8.389949798583984E-08</v>
      </c>
    </row>
    <row r="162" spans="1:15" ht="12.75">
      <c r="A162" s="95">
        <f t="shared" si="22"/>
        <v>45160</v>
      </c>
      <c r="B162" s="96">
        <f>IF(DIAS365('CALCULADORA TIPS Pesos E-14'!$E$6,A162)&lt;0,0,DIAS365('CALCULADORA TIPS Pesos E-14'!$E$6,A162))</f>
        <v>3191</v>
      </c>
      <c r="C162" s="97">
        <f>+HLOOKUP('CALCULADORA TIPS Pesos E-14'!$E$4,Tablas!$B$1:$B$181,Flujos!J162+1,FALSE)</f>
        <v>0</v>
      </c>
      <c r="D162" s="98">
        <f t="shared" si="24"/>
        <v>0</v>
      </c>
      <c r="E162" s="99">
        <f t="shared" si="25"/>
        <v>0</v>
      </c>
      <c r="F162" s="99">
        <f>ROUND(D161*ROUND(((1+'CALCULADORA TIPS Pesos E-14'!$C$14)^(1/12)-1),6),6)</f>
        <v>0</v>
      </c>
      <c r="G162" s="99">
        <f t="shared" si="26"/>
        <v>0</v>
      </c>
      <c r="H162" s="100">
        <f>IF($B162=0,0,G162/POWER(1+'CALCULADORA TIPS Pesos E-14'!$F$11,Flujos!$B162/365))</f>
        <v>0</v>
      </c>
      <c r="I162" s="101">
        <f t="shared" si="23"/>
        <v>45160</v>
      </c>
      <c r="J162" s="65">
        <v>160</v>
      </c>
      <c r="K162" s="102">
        <f t="shared" si="27"/>
        <v>4867</v>
      </c>
      <c r="L162" s="106">
        <f t="shared" si="28"/>
        <v>1.621246337890625E-05</v>
      </c>
      <c r="M162" s="103">
        <f t="shared" si="29"/>
        <v>0</v>
      </c>
      <c r="N162" s="103">
        <f t="shared" si="30"/>
        <v>8.389949798583984E-08</v>
      </c>
      <c r="O162" s="104">
        <f t="shared" si="31"/>
        <v>8.389949798583984E-08</v>
      </c>
    </row>
    <row r="163" spans="1:15" ht="12.75">
      <c r="A163" s="95">
        <f aca="true" t="shared" si="32" ref="A163:A182">_XLL.FECHA.MES(A162,1)</f>
        <v>45191</v>
      </c>
      <c r="B163" s="96">
        <f>IF(DIAS365('CALCULADORA TIPS Pesos E-14'!$E$6,A163)&lt;0,0,DIAS365('CALCULADORA TIPS Pesos E-14'!$E$6,A163))</f>
        <v>3222</v>
      </c>
      <c r="C163" s="97">
        <f>+HLOOKUP('CALCULADORA TIPS Pesos E-14'!$E$4,Tablas!$B$1:$B$181,Flujos!J163+1,FALSE)</f>
        <v>0</v>
      </c>
      <c r="D163" s="98">
        <f t="shared" si="24"/>
        <v>0</v>
      </c>
      <c r="E163" s="99">
        <f t="shared" si="25"/>
        <v>0</v>
      </c>
      <c r="F163" s="99">
        <f>ROUND(D162*ROUND(((1+'CALCULADORA TIPS Pesos E-14'!$C$14)^(1/12)-1),6),6)</f>
        <v>0</v>
      </c>
      <c r="G163" s="99">
        <f t="shared" si="26"/>
        <v>0</v>
      </c>
      <c r="H163" s="100">
        <f>IF($B163=0,0,G163/POWER(1+'CALCULADORA TIPS Pesos E-14'!$F$11,Flujos!$B163/365))</f>
        <v>0</v>
      </c>
      <c r="I163" s="101">
        <f t="shared" si="23"/>
        <v>45191</v>
      </c>
      <c r="J163" s="65">
        <v>161</v>
      </c>
      <c r="K163" s="102">
        <f t="shared" si="27"/>
        <v>4898</v>
      </c>
      <c r="L163" s="106">
        <f t="shared" si="28"/>
        <v>1.621246337890625E-05</v>
      </c>
      <c r="M163" s="103">
        <f t="shared" si="29"/>
        <v>0</v>
      </c>
      <c r="N163" s="103">
        <f t="shared" si="30"/>
        <v>8.389949798583984E-08</v>
      </c>
      <c r="O163" s="104">
        <f t="shared" si="31"/>
        <v>8.389949798583984E-08</v>
      </c>
    </row>
    <row r="164" spans="1:15" ht="12.75">
      <c r="A164" s="95">
        <f t="shared" si="32"/>
        <v>45221</v>
      </c>
      <c r="B164" s="96">
        <f>IF(DIAS365('CALCULADORA TIPS Pesos E-14'!$E$6,A164)&lt;0,0,DIAS365('CALCULADORA TIPS Pesos E-14'!$E$6,A164))</f>
        <v>3252</v>
      </c>
      <c r="C164" s="97">
        <f>+HLOOKUP('CALCULADORA TIPS Pesos E-14'!$E$4,Tablas!$B$1:$B$181,Flujos!J164+1,FALSE)</f>
        <v>0</v>
      </c>
      <c r="D164" s="98">
        <f t="shared" si="24"/>
        <v>0</v>
      </c>
      <c r="E164" s="99">
        <f t="shared" si="25"/>
        <v>0</v>
      </c>
      <c r="F164" s="99">
        <f>ROUND(D163*ROUND(((1+'CALCULADORA TIPS Pesos E-14'!$C$14)^(1/12)-1),6),6)</f>
        <v>0</v>
      </c>
      <c r="G164" s="99">
        <f t="shared" si="26"/>
        <v>0</v>
      </c>
      <c r="H164" s="100">
        <f>IF($B164=0,0,G164/POWER(1+'CALCULADORA TIPS Pesos E-14'!$F$11,Flujos!$B164/365))</f>
        <v>0</v>
      </c>
      <c r="I164" s="101">
        <f t="shared" si="23"/>
        <v>45221</v>
      </c>
      <c r="J164" s="65">
        <v>162</v>
      </c>
      <c r="K164" s="102">
        <f t="shared" si="27"/>
        <v>4928</v>
      </c>
      <c r="L164" s="106">
        <f t="shared" si="28"/>
        <v>1.621246337890625E-05</v>
      </c>
      <c r="M164" s="103">
        <f t="shared" si="29"/>
        <v>0</v>
      </c>
      <c r="N164" s="103">
        <f t="shared" si="30"/>
        <v>8.389949798583984E-08</v>
      </c>
      <c r="O164" s="104">
        <f t="shared" si="31"/>
        <v>8.389949798583984E-08</v>
      </c>
    </row>
    <row r="165" spans="1:15" ht="12.75">
      <c r="A165" s="95">
        <f t="shared" si="32"/>
        <v>45252</v>
      </c>
      <c r="B165" s="96">
        <f>IF(DIAS365('CALCULADORA TIPS Pesos E-14'!$E$6,A165)&lt;0,0,DIAS365('CALCULADORA TIPS Pesos E-14'!$E$6,A165))</f>
        <v>3283</v>
      </c>
      <c r="C165" s="97">
        <f>+HLOOKUP('CALCULADORA TIPS Pesos E-14'!$E$4,Tablas!$B$1:$B$181,Flujos!J165+1,FALSE)</f>
        <v>0</v>
      </c>
      <c r="D165" s="98">
        <f t="shared" si="24"/>
        <v>0</v>
      </c>
      <c r="E165" s="99">
        <f t="shared" si="25"/>
        <v>0</v>
      </c>
      <c r="F165" s="99">
        <f>ROUND(D164*ROUND(((1+'CALCULADORA TIPS Pesos E-14'!$C$14)^(1/12)-1),6),6)</f>
        <v>0</v>
      </c>
      <c r="G165" s="99">
        <f t="shared" si="26"/>
        <v>0</v>
      </c>
      <c r="H165" s="100">
        <f>IF($B165=0,0,G165/POWER(1+'CALCULADORA TIPS Pesos E-14'!$F$11,Flujos!$B165/365))</f>
        <v>0</v>
      </c>
      <c r="I165" s="101">
        <f t="shared" si="23"/>
        <v>45252</v>
      </c>
      <c r="J165" s="65">
        <v>163</v>
      </c>
      <c r="K165" s="102">
        <f t="shared" si="27"/>
        <v>4959</v>
      </c>
      <c r="L165" s="106">
        <f t="shared" si="28"/>
        <v>1.621246337890625E-05</v>
      </c>
      <c r="M165" s="103">
        <f t="shared" si="29"/>
        <v>0</v>
      </c>
      <c r="N165" s="103">
        <f t="shared" si="30"/>
        <v>8.389949798583984E-08</v>
      </c>
      <c r="O165" s="104">
        <f t="shared" si="31"/>
        <v>8.389949798583984E-08</v>
      </c>
    </row>
    <row r="166" spans="1:15" ht="12.75">
      <c r="A166" s="95">
        <f t="shared" si="32"/>
        <v>45282</v>
      </c>
      <c r="B166" s="96">
        <f>IF(DIAS365('CALCULADORA TIPS Pesos E-14'!$E$6,A166)&lt;0,0,DIAS365('CALCULADORA TIPS Pesos E-14'!$E$6,A166))</f>
        <v>3313</v>
      </c>
      <c r="C166" s="97">
        <f>+HLOOKUP('CALCULADORA TIPS Pesos E-14'!$E$4,Tablas!$B$1:$B$181,Flujos!J166+1,FALSE)</f>
        <v>0</v>
      </c>
      <c r="D166" s="98">
        <f t="shared" si="24"/>
        <v>0</v>
      </c>
      <c r="E166" s="99">
        <f t="shared" si="25"/>
        <v>0</v>
      </c>
      <c r="F166" s="99">
        <f>ROUND(D165*ROUND(((1+'CALCULADORA TIPS Pesos E-14'!$C$14)^(1/12)-1),6),6)</f>
        <v>0</v>
      </c>
      <c r="G166" s="99">
        <f t="shared" si="26"/>
        <v>0</v>
      </c>
      <c r="H166" s="100">
        <f>IF($B166=0,0,G166/POWER(1+'CALCULADORA TIPS Pesos E-14'!$F$11,Flujos!$B166/365))</f>
        <v>0</v>
      </c>
      <c r="I166" s="101">
        <f t="shared" si="23"/>
        <v>45282</v>
      </c>
      <c r="J166" s="65">
        <v>164</v>
      </c>
      <c r="K166" s="102">
        <f t="shared" si="27"/>
        <v>4989</v>
      </c>
      <c r="L166" s="106">
        <f t="shared" si="28"/>
        <v>1.621246337890625E-05</v>
      </c>
      <c r="M166" s="103">
        <f t="shared" si="29"/>
        <v>0</v>
      </c>
      <c r="N166" s="103">
        <f t="shared" si="30"/>
        <v>8.389949798583984E-08</v>
      </c>
      <c r="O166" s="104">
        <f t="shared" si="31"/>
        <v>8.389949798583984E-08</v>
      </c>
    </row>
    <row r="167" spans="1:15" ht="12.75">
      <c r="A167" s="95">
        <f t="shared" si="32"/>
        <v>45313</v>
      </c>
      <c r="B167" s="96">
        <f>IF(DIAS365('CALCULADORA TIPS Pesos E-14'!$E$6,A167)&lt;0,0,DIAS365('CALCULADORA TIPS Pesos E-14'!$E$6,A167))</f>
        <v>3344</v>
      </c>
      <c r="C167" s="97">
        <f>+HLOOKUP('CALCULADORA TIPS Pesos E-14'!$E$4,Tablas!$B$1:$B$181,Flujos!J167+1,FALSE)</f>
        <v>0</v>
      </c>
      <c r="D167" s="98">
        <f t="shared" si="24"/>
        <v>0</v>
      </c>
      <c r="E167" s="99">
        <f t="shared" si="25"/>
        <v>0</v>
      </c>
      <c r="F167" s="99">
        <f>ROUND(D166*ROUND(((1+'CALCULADORA TIPS Pesos E-14'!$C$14)^(1/12)-1),6),6)</f>
        <v>0</v>
      </c>
      <c r="G167" s="99">
        <f t="shared" si="26"/>
        <v>0</v>
      </c>
      <c r="H167" s="100">
        <f>IF($B167=0,0,G167/POWER(1+'CALCULADORA TIPS Pesos E-14'!$F$11,Flujos!$B167/365))</f>
        <v>0</v>
      </c>
      <c r="I167" s="101">
        <f t="shared" si="23"/>
        <v>45313</v>
      </c>
      <c r="J167" s="65">
        <v>165</v>
      </c>
      <c r="K167" s="102">
        <f t="shared" si="27"/>
        <v>5020</v>
      </c>
      <c r="L167" s="106">
        <f t="shared" si="28"/>
        <v>1.621246337890625E-05</v>
      </c>
      <c r="M167" s="103">
        <f t="shared" si="29"/>
        <v>0</v>
      </c>
      <c r="N167" s="103">
        <f t="shared" si="30"/>
        <v>8.389949798583984E-08</v>
      </c>
      <c r="O167" s="104">
        <f t="shared" si="31"/>
        <v>8.389949798583984E-08</v>
      </c>
    </row>
    <row r="168" spans="1:15" ht="12.75">
      <c r="A168" s="95">
        <f t="shared" si="32"/>
        <v>45344</v>
      </c>
      <c r="B168" s="96">
        <f>IF(DIAS365('CALCULADORA TIPS Pesos E-14'!$E$6,A168)&lt;0,0,DIAS365('CALCULADORA TIPS Pesos E-14'!$E$6,A168))</f>
        <v>3375</v>
      </c>
      <c r="C168" s="97">
        <f>+HLOOKUP('CALCULADORA TIPS Pesos E-14'!$E$4,Tablas!$B$1:$B$181,Flujos!J168+1,FALSE)</f>
        <v>0</v>
      </c>
      <c r="D168" s="98">
        <f t="shared" si="24"/>
        <v>0</v>
      </c>
      <c r="E168" s="99">
        <f t="shared" si="25"/>
        <v>0</v>
      </c>
      <c r="F168" s="99">
        <f>ROUND(D167*ROUND(((1+'CALCULADORA TIPS Pesos E-14'!$C$14)^(1/12)-1),6),6)</f>
        <v>0</v>
      </c>
      <c r="G168" s="99">
        <f t="shared" si="26"/>
        <v>0</v>
      </c>
      <c r="H168" s="100">
        <f>IF($B168=0,0,G168/POWER(1+'CALCULADORA TIPS Pesos E-14'!$F$11,Flujos!$B168/365))</f>
        <v>0</v>
      </c>
      <c r="I168" s="101">
        <f t="shared" si="23"/>
        <v>45344</v>
      </c>
      <c r="J168" s="65">
        <v>166</v>
      </c>
      <c r="K168" s="102">
        <f t="shared" si="27"/>
        <v>5051</v>
      </c>
      <c r="L168" s="106">
        <f t="shared" si="28"/>
        <v>1.621246337890625E-05</v>
      </c>
      <c r="M168" s="103">
        <f t="shared" si="29"/>
        <v>0</v>
      </c>
      <c r="N168" s="103">
        <f t="shared" si="30"/>
        <v>8.389949798583984E-08</v>
      </c>
      <c r="O168" s="104">
        <f t="shared" si="31"/>
        <v>8.389949798583984E-08</v>
      </c>
    </row>
    <row r="169" spans="1:15" ht="12.75">
      <c r="A169" s="95">
        <f t="shared" si="32"/>
        <v>45373</v>
      </c>
      <c r="B169" s="96">
        <f>IF(DIAS365('CALCULADORA TIPS Pesos E-14'!$E$6,A169)&lt;0,0,DIAS365('CALCULADORA TIPS Pesos E-14'!$E$6,A169))</f>
        <v>3403</v>
      </c>
      <c r="C169" s="97">
        <f>+HLOOKUP('CALCULADORA TIPS Pesos E-14'!$E$4,Tablas!$B$1:$B$181,Flujos!J169+1,FALSE)</f>
        <v>0</v>
      </c>
      <c r="D169" s="98">
        <f t="shared" si="24"/>
        <v>0</v>
      </c>
      <c r="E169" s="99">
        <f t="shared" si="25"/>
        <v>0</v>
      </c>
      <c r="F169" s="99">
        <f>ROUND(D168*ROUND(((1+'CALCULADORA TIPS Pesos E-14'!$C$14)^(1/12)-1),6),6)</f>
        <v>0</v>
      </c>
      <c r="G169" s="99">
        <f t="shared" si="26"/>
        <v>0</v>
      </c>
      <c r="H169" s="100">
        <f>IF($B169=0,0,G169/POWER(1+'CALCULADORA TIPS Pesos E-14'!$F$11,Flujos!$B169/365))</f>
        <v>0</v>
      </c>
      <c r="I169" s="101">
        <f t="shared" si="23"/>
        <v>45373</v>
      </c>
      <c r="J169" s="65">
        <v>167</v>
      </c>
      <c r="K169" s="102">
        <f t="shared" si="27"/>
        <v>5079</v>
      </c>
      <c r="L169" s="106">
        <f t="shared" si="28"/>
        <v>1.621246337890625E-05</v>
      </c>
      <c r="M169" s="103">
        <f t="shared" si="29"/>
        <v>0</v>
      </c>
      <c r="N169" s="103">
        <f t="shared" si="30"/>
        <v>8.389949798583984E-08</v>
      </c>
      <c r="O169" s="104">
        <f t="shared" si="31"/>
        <v>8.389949798583984E-08</v>
      </c>
    </row>
    <row r="170" spans="1:15" ht="12.75">
      <c r="A170" s="95">
        <f t="shared" si="32"/>
        <v>45404</v>
      </c>
      <c r="B170" s="96">
        <f>IF(DIAS365('CALCULADORA TIPS Pesos E-14'!$E$6,A170)&lt;0,0,DIAS365('CALCULADORA TIPS Pesos E-14'!$E$6,A170))</f>
        <v>3434</v>
      </c>
      <c r="C170" s="97">
        <f>+HLOOKUP('CALCULADORA TIPS Pesos E-14'!$E$4,Tablas!$B$1:$B$181,Flujos!J170+1,FALSE)</f>
        <v>0</v>
      </c>
      <c r="D170" s="98">
        <f t="shared" si="24"/>
        <v>0</v>
      </c>
      <c r="E170" s="99">
        <f t="shared" si="25"/>
        <v>0</v>
      </c>
      <c r="F170" s="99">
        <f>ROUND(D169*ROUND(((1+'CALCULADORA TIPS Pesos E-14'!$C$14)^(1/12)-1),6),6)</f>
        <v>0</v>
      </c>
      <c r="G170" s="99">
        <f t="shared" si="26"/>
        <v>0</v>
      </c>
      <c r="H170" s="100">
        <f>IF($B170=0,0,G170/POWER(1+'CALCULADORA TIPS Pesos E-14'!$F$11,Flujos!$B170/365))</f>
        <v>0</v>
      </c>
      <c r="I170" s="101">
        <f t="shared" si="23"/>
        <v>45404</v>
      </c>
      <c r="J170" s="65">
        <v>168</v>
      </c>
      <c r="K170" s="102">
        <f t="shared" si="27"/>
        <v>5110</v>
      </c>
      <c r="L170" s="106">
        <f t="shared" si="28"/>
        <v>1.621246337890625E-05</v>
      </c>
      <c r="M170" s="103">
        <f t="shared" si="29"/>
        <v>0</v>
      </c>
      <c r="N170" s="103">
        <f t="shared" si="30"/>
        <v>8.389949798583984E-08</v>
      </c>
      <c r="O170" s="104">
        <f t="shared" si="31"/>
        <v>8.389949798583984E-08</v>
      </c>
    </row>
    <row r="171" spans="1:15" ht="12.75">
      <c r="A171" s="95">
        <f t="shared" si="32"/>
        <v>45434</v>
      </c>
      <c r="B171" s="96">
        <f>IF(DIAS365('CALCULADORA TIPS Pesos E-14'!$E$6,A171)&lt;0,0,DIAS365('CALCULADORA TIPS Pesos E-14'!$E$6,A171))</f>
        <v>3464</v>
      </c>
      <c r="C171" s="97">
        <f>+HLOOKUP('CALCULADORA TIPS Pesos E-14'!$E$4,Tablas!$B$1:$B$181,Flujos!J171+1,FALSE)</f>
        <v>0</v>
      </c>
      <c r="D171" s="98">
        <f t="shared" si="24"/>
        <v>0</v>
      </c>
      <c r="E171" s="99">
        <f t="shared" si="25"/>
        <v>0</v>
      </c>
      <c r="F171" s="99">
        <f>ROUND(D170*ROUND(((1+'CALCULADORA TIPS Pesos E-14'!$C$14)^(1/12)-1),6),6)</f>
        <v>0</v>
      </c>
      <c r="G171" s="99">
        <f t="shared" si="26"/>
        <v>0</v>
      </c>
      <c r="H171" s="100">
        <f>IF($B171=0,0,G171/POWER(1+'CALCULADORA TIPS Pesos E-14'!$F$11,Flujos!$B171/365))</f>
        <v>0</v>
      </c>
      <c r="I171" s="101">
        <f t="shared" si="23"/>
        <v>45434</v>
      </c>
      <c r="J171" s="65">
        <v>169</v>
      </c>
      <c r="K171" s="102">
        <f t="shared" si="27"/>
        <v>5140</v>
      </c>
      <c r="L171" s="106">
        <f t="shared" si="28"/>
        <v>1.621246337890625E-05</v>
      </c>
      <c r="M171" s="103">
        <f t="shared" si="29"/>
        <v>0</v>
      </c>
      <c r="N171" s="103">
        <f t="shared" si="30"/>
        <v>8.389949798583984E-08</v>
      </c>
      <c r="O171" s="104">
        <f t="shared" si="31"/>
        <v>8.389949798583984E-08</v>
      </c>
    </row>
    <row r="172" spans="1:15" ht="12.75">
      <c r="A172" s="95">
        <f t="shared" si="32"/>
        <v>45465</v>
      </c>
      <c r="B172" s="96">
        <f>IF(DIAS365('CALCULADORA TIPS Pesos E-14'!$E$6,A172)&lt;0,0,DIAS365('CALCULADORA TIPS Pesos E-14'!$E$6,A172))</f>
        <v>3495</v>
      </c>
      <c r="C172" s="97">
        <f>+HLOOKUP('CALCULADORA TIPS Pesos E-14'!$E$4,Tablas!$B$1:$B$181,Flujos!J172+1,FALSE)</f>
        <v>0</v>
      </c>
      <c r="D172" s="98">
        <f t="shared" si="24"/>
        <v>0</v>
      </c>
      <c r="E172" s="99">
        <f t="shared" si="25"/>
        <v>0</v>
      </c>
      <c r="F172" s="99">
        <f>ROUND(D171*ROUND(((1+'CALCULADORA TIPS Pesos E-14'!$C$14)^(1/12)-1),6),6)</f>
        <v>0</v>
      </c>
      <c r="G172" s="99">
        <f t="shared" si="26"/>
        <v>0</v>
      </c>
      <c r="H172" s="100">
        <f>IF($B172=0,0,G172/POWER(1+'CALCULADORA TIPS Pesos E-14'!$F$11,Flujos!$B172/365))</f>
        <v>0</v>
      </c>
      <c r="I172" s="101">
        <f t="shared" si="23"/>
        <v>45465</v>
      </c>
      <c r="J172" s="65">
        <v>170</v>
      </c>
      <c r="K172" s="102">
        <f t="shared" si="27"/>
        <v>5171</v>
      </c>
      <c r="L172" s="106">
        <f t="shared" si="28"/>
        <v>1.621246337890625E-05</v>
      </c>
      <c r="M172" s="103">
        <f t="shared" si="29"/>
        <v>0</v>
      </c>
      <c r="N172" s="103">
        <f t="shared" si="30"/>
        <v>8.389949798583984E-08</v>
      </c>
      <c r="O172" s="104">
        <f t="shared" si="31"/>
        <v>8.389949798583984E-08</v>
      </c>
    </row>
    <row r="173" spans="1:15" ht="12.75">
      <c r="A173" s="95">
        <f t="shared" si="32"/>
        <v>45495</v>
      </c>
      <c r="B173" s="96">
        <f>IF(DIAS365('CALCULADORA TIPS Pesos E-14'!$E$6,A173)&lt;0,0,DIAS365('CALCULADORA TIPS Pesos E-14'!$E$6,A173))</f>
        <v>3525</v>
      </c>
      <c r="C173" s="97">
        <f>+HLOOKUP('CALCULADORA TIPS Pesos E-14'!$E$4,Tablas!$B$1:$B$181,Flujos!J173+1,FALSE)</f>
        <v>0</v>
      </c>
      <c r="D173" s="98">
        <f t="shared" si="24"/>
        <v>0</v>
      </c>
      <c r="E173" s="99">
        <f t="shared" si="25"/>
        <v>0</v>
      </c>
      <c r="F173" s="99">
        <f>ROUND(D172*ROUND(((1+'CALCULADORA TIPS Pesos E-14'!$C$14)^(1/12)-1),6),6)</f>
        <v>0</v>
      </c>
      <c r="G173" s="99">
        <f t="shared" si="26"/>
        <v>0</v>
      </c>
      <c r="H173" s="100">
        <f>IF($B173=0,0,G173/POWER(1+'CALCULADORA TIPS Pesos E-14'!$F$11,Flujos!$B173/365))</f>
        <v>0</v>
      </c>
      <c r="I173" s="101">
        <f t="shared" si="23"/>
        <v>45495</v>
      </c>
      <c r="J173" s="65">
        <v>171</v>
      </c>
      <c r="K173" s="102">
        <f t="shared" si="27"/>
        <v>5201</v>
      </c>
      <c r="L173" s="106">
        <f t="shared" si="28"/>
        <v>1.621246337890625E-05</v>
      </c>
      <c r="M173" s="103">
        <f t="shared" si="29"/>
        <v>0</v>
      </c>
      <c r="N173" s="103">
        <f t="shared" si="30"/>
        <v>8.389949798583984E-08</v>
      </c>
      <c r="O173" s="104">
        <f t="shared" si="31"/>
        <v>8.389949798583984E-08</v>
      </c>
    </row>
    <row r="174" spans="1:15" ht="12.75">
      <c r="A174" s="95">
        <f t="shared" si="32"/>
        <v>45526</v>
      </c>
      <c r="B174" s="96">
        <f>IF(DIAS365('CALCULADORA TIPS Pesos E-14'!$E$6,A174)&lt;0,0,DIAS365('CALCULADORA TIPS Pesos E-14'!$E$6,A174))</f>
        <v>3556</v>
      </c>
      <c r="C174" s="97">
        <f>+HLOOKUP('CALCULADORA TIPS Pesos E-14'!$E$4,Tablas!$B$1:$B$181,Flujos!J174+1,FALSE)</f>
        <v>0</v>
      </c>
      <c r="D174" s="98">
        <f t="shared" si="24"/>
        <v>0</v>
      </c>
      <c r="E174" s="99">
        <f t="shared" si="25"/>
        <v>0</v>
      </c>
      <c r="F174" s="99">
        <f>ROUND(D173*ROUND(((1+'CALCULADORA TIPS Pesos E-14'!$C$14)^(1/12)-1),6),6)</f>
        <v>0</v>
      </c>
      <c r="G174" s="99">
        <f t="shared" si="26"/>
        <v>0</v>
      </c>
      <c r="H174" s="100">
        <f>IF($B174=0,0,G174/POWER(1+'CALCULADORA TIPS Pesos E-14'!$F$11,Flujos!$B174/365))</f>
        <v>0</v>
      </c>
      <c r="I174" s="101">
        <f t="shared" si="23"/>
        <v>45526</v>
      </c>
      <c r="J174" s="65">
        <v>172</v>
      </c>
      <c r="K174" s="102">
        <f t="shared" si="27"/>
        <v>5232</v>
      </c>
      <c r="L174" s="106">
        <f t="shared" si="28"/>
        <v>1.621246337890625E-05</v>
      </c>
      <c r="M174" s="103">
        <f t="shared" si="29"/>
        <v>0</v>
      </c>
      <c r="N174" s="103">
        <f t="shared" si="30"/>
        <v>8.389949798583984E-08</v>
      </c>
      <c r="O174" s="104">
        <f t="shared" si="31"/>
        <v>8.389949798583984E-08</v>
      </c>
    </row>
    <row r="175" spans="1:15" ht="12.75">
      <c r="A175" s="95">
        <f t="shared" si="32"/>
        <v>45557</v>
      </c>
      <c r="B175" s="96">
        <f>IF(DIAS365('CALCULADORA TIPS Pesos E-14'!$E$6,A175)&lt;0,0,DIAS365('CALCULADORA TIPS Pesos E-14'!$E$6,A175))</f>
        <v>3587</v>
      </c>
      <c r="C175" s="97">
        <f>+HLOOKUP('CALCULADORA TIPS Pesos E-14'!$E$4,Tablas!$B$1:$B$181,Flujos!J175+1,FALSE)</f>
        <v>0</v>
      </c>
      <c r="D175" s="98">
        <f t="shared" si="24"/>
        <v>0</v>
      </c>
      <c r="E175" s="99">
        <f t="shared" si="25"/>
        <v>0</v>
      </c>
      <c r="F175" s="99">
        <f>ROUND(D174*ROUND(((1+'CALCULADORA TIPS Pesos E-14'!$C$14)^(1/12)-1),6),6)</f>
        <v>0</v>
      </c>
      <c r="G175" s="99">
        <f t="shared" si="26"/>
        <v>0</v>
      </c>
      <c r="H175" s="100">
        <f>IF($B175=0,0,G175/POWER(1+'CALCULADORA TIPS Pesos E-14'!$F$11,Flujos!$B175/365))</f>
        <v>0</v>
      </c>
      <c r="I175" s="101">
        <f t="shared" si="23"/>
        <v>45557</v>
      </c>
      <c r="J175" s="65">
        <v>173</v>
      </c>
      <c r="K175" s="102">
        <f t="shared" si="27"/>
        <v>5263</v>
      </c>
      <c r="L175" s="106">
        <f t="shared" si="28"/>
        <v>1.621246337890625E-05</v>
      </c>
      <c r="M175" s="103">
        <f t="shared" si="29"/>
        <v>0</v>
      </c>
      <c r="N175" s="103">
        <f t="shared" si="30"/>
        <v>8.389949798583984E-08</v>
      </c>
      <c r="O175" s="104">
        <f t="shared" si="31"/>
        <v>8.389949798583984E-08</v>
      </c>
    </row>
    <row r="176" spans="1:15" ht="12.75">
      <c r="A176" s="95">
        <f t="shared" si="32"/>
        <v>45587</v>
      </c>
      <c r="B176" s="96">
        <f>IF(DIAS365('CALCULADORA TIPS Pesos E-14'!$E$6,A176)&lt;0,0,DIAS365('CALCULADORA TIPS Pesos E-14'!$E$6,A176))</f>
        <v>3617</v>
      </c>
      <c r="C176" s="97">
        <f>+HLOOKUP('CALCULADORA TIPS Pesos E-14'!$E$4,Tablas!$B$1:$B$181,Flujos!J176+1,FALSE)</f>
        <v>0</v>
      </c>
      <c r="D176" s="98">
        <f t="shared" si="24"/>
        <v>0</v>
      </c>
      <c r="E176" s="99">
        <f t="shared" si="25"/>
        <v>0</v>
      </c>
      <c r="F176" s="99">
        <f>ROUND(D175*ROUND(((1+'CALCULADORA TIPS Pesos E-14'!$C$14)^(1/12)-1),6),6)</f>
        <v>0</v>
      </c>
      <c r="G176" s="99">
        <f t="shared" si="26"/>
        <v>0</v>
      </c>
      <c r="H176" s="100">
        <f>IF($B176=0,0,G176/POWER(1+'CALCULADORA TIPS Pesos E-14'!$F$11,Flujos!$B176/365))</f>
        <v>0</v>
      </c>
      <c r="I176" s="101">
        <f t="shared" si="23"/>
        <v>45587</v>
      </c>
      <c r="J176" s="65">
        <v>174</v>
      </c>
      <c r="K176" s="102">
        <f t="shared" si="27"/>
        <v>5293</v>
      </c>
      <c r="L176" s="106">
        <f t="shared" si="28"/>
        <v>1.621246337890625E-05</v>
      </c>
      <c r="M176" s="103">
        <f t="shared" si="29"/>
        <v>0</v>
      </c>
      <c r="N176" s="103">
        <f t="shared" si="30"/>
        <v>8.389949798583984E-08</v>
      </c>
      <c r="O176" s="104">
        <f t="shared" si="31"/>
        <v>8.389949798583984E-08</v>
      </c>
    </row>
    <row r="177" spans="1:15" ht="12.75">
      <c r="A177" s="95">
        <f t="shared" si="32"/>
        <v>45618</v>
      </c>
      <c r="B177" s="96">
        <f>IF(DIAS365('CALCULADORA TIPS Pesos E-14'!$E$6,A177)&lt;0,0,DIAS365('CALCULADORA TIPS Pesos E-14'!$E$6,A177))</f>
        <v>3648</v>
      </c>
      <c r="C177" s="97">
        <f>+HLOOKUP('CALCULADORA TIPS Pesos E-14'!$E$4,Tablas!$B$1:$B$181,Flujos!J177+1,FALSE)</f>
        <v>0</v>
      </c>
      <c r="D177" s="98">
        <f t="shared" si="24"/>
        <v>0</v>
      </c>
      <c r="E177" s="99">
        <f t="shared" si="25"/>
        <v>0</v>
      </c>
      <c r="F177" s="99">
        <f>ROUND(D176*ROUND(((1+'CALCULADORA TIPS Pesos E-14'!$C$14)^(1/12)-1),6),6)</f>
        <v>0</v>
      </c>
      <c r="G177" s="99">
        <f t="shared" si="26"/>
        <v>0</v>
      </c>
      <c r="H177" s="100">
        <f>IF($B177=0,0,G177/POWER(1+'CALCULADORA TIPS Pesos E-14'!$F$11,Flujos!$B177/365))</f>
        <v>0</v>
      </c>
      <c r="I177" s="101">
        <f t="shared" si="23"/>
        <v>45618</v>
      </c>
      <c r="J177" s="65">
        <v>175</v>
      </c>
      <c r="K177" s="102">
        <f t="shared" si="27"/>
        <v>5324</v>
      </c>
      <c r="L177" s="106">
        <f t="shared" si="28"/>
        <v>1.621246337890625E-05</v>
      </c>
      <c r="M177" s="103">
        <f t="shared" si="29"/>
        <v>0</v>
      </c>
      <c r="N177" s="103">
        <f t="shared" si="30"/>
        <v>8.389949798583984E-08</v>
      </c>
      <c r="O177" s="104">
        <f t="shared" si="31"/>
        <v>8.389949798583984E-08</v>
      </c>
    </row>
    <row r="178" spans="1:15" ht="12.75">
      <c r="A178" s="95">
        <f t="shared" si="32"/>
        <v>45648</v>
      </c>
      <c r="B178" s="96">
        <f>IF(DIAS365('CALCULADORA TIPS Pesos E-14'!$E$6,A178)&lt;0,0,DIAS365('CALCULADORA TIPS Pesos E-14'!$E$6,A178))</f>
        <v>3678</v>
      </c>
      <c r="C178" s="97">
        <f>+HLOOKUP('CALCULADORA TIPS Pesos E-14'!$E$4,Tablas!$B$1:$B$181,Flujos!J178+1,FALSE)</f>
        <v>0</v>
      </c>
      <c r="D178" s="98">
        <f t="shared" si="24"/>
        <v>0</v>
      </c>
      <c r="E178" s="99">
        <f t="shared" si="25"/>
        <v>0</v>
      </c>
      <c r="F178" s="99">
        <f>ROUND(D177*ROUND(((1+'CALCULADORA TIPS Pesos E-14'!$C$14)^(1/12)-1),6),6)</f>
        <v>0</v>
      </c>
      <c r="G178" s="99">
        <f t="shared" si="26"/>
        <v>0</v>
      </c>
      <c r="H178" s="100">
        <f>IF($B178=0,0,G178/POWER(1+'CALCULADORA TIPS Pesos E-14'!$F$11,Flujos!$B178/365))</f>
        <v>0</v>
      </c>
      <c r="I178" s="101">
        <f t="shared" si="23"/>
        <v>45648</v>
      </c>
      <c r="J178" s="65">
        <v>176</v>
      </c>
      <c r="K178" s="102">
        <f t="shared" si="27"/>
        <v>5354</v>
      </c>
      <c r="L178" s="106">
        <f t="shared" si="28"/>
        <v>1.621246337890625E-05</v>
      </c>
      <c r="M178" s="103">
        <f t="shared" si="29"/>
        <v>0</v>
      </c>
      <c r="N178" s="103">
        <f t="shared" si="30"/>
        <v>8.389949798583984E-08</v>
      </c>
      <c r="O178" s="104">
        <f t="shared" si="31"/>
        <v>8.389949798583984E-08</v>
      </c>
    </row>
    <row r="179" spans="1:15" ht="12.75">
      <c r="A179" s="95">
        <f t="shared" si="32"/>
        <v>45679</v>
      </c>
      <c r="B179" s="96">
        <f>IF(DIAS365('CALCULADORA TIPS Pesos E-14'!$E$6,A179)&lt;0,0,DIAS365('CALCULADORA TIPS Pesos E-14'!$E$6,A179))</f>
        <v>3709</v>
      </c>
      <c r="C179" s="97">
        <f>+HLOOKUP('CALCULADORA TIPS Pesos E-14'!$E$4,Tablas!$B$1:$B$181,Flujos!J179+1,FALSE)</f>
        <v>0</v>
      </c>
      <c r="D179" s="98">
        <f t="shared" si="24"/>
        <v>0</v>
      </c>
      <c r="E179" s="99">
        <f t="shared" si="25"/>
        <v>0</v>
      </c>
      <c r="F179" s="99">
        <f>ROUND(D178*ROUND(((1+'CALCULADORA TIPS Pesos E-14'!$C$14)^(1/12)-1),6),6)</f>
        <v>0</v>
      </c>
      <c r="G179" s="99">
        <f t="shared" si="26"/>
        <v>0</v>
      </c>
      <c r="H179" s="100">
        <f>IF($B179=0,0,G179/POWER(1+'CALCULADORA TIPS Pesos E-14'!$F$11,Flujos!$B179/365))</f>
        <v>0</v>
      </c>
      <c r="I179" s="101">
        <f t="shared" si="23"/>
        <v>45679</v>
      </c>
      <c r="J179" s="65">
        <v>177</v>
      </c>
      <c r="K179" s="102">
        <f t="shared" si="27"/>
        <v>5385</v>
      </c>
      <c r="L179" s="106">
        <f t="shared" si="28"/>
        <v>1.621246337890625E-05</v>
      </c>
      <c r="M179" s="103">
        <f t="shared" si="29"/>
        <v>0</v>
      </c>
      <c r="N179" s="103">
        <f t="shared" si="30"/>
        <v>8.389949798583984E-08</v>
      </c>
      <c r="O179" s="104">
        <f t="shared" si="31"/>
        <v>8.389949798583984E-08</v>
      </c>
    </row>
    <row r="180" spans="1:15" ht="12.75">
      <c r="A180" s="95">
        <f t="shared" si="32"/>
        <v>45710</v>
      </c>
      <c r="B180" s="96">
        <f>IF(DIAS365('CALCULADORA TIPS Pesos E-14'!$E$6,A180)&lt;0,0,DIAS365('CALCULADORA TIPS Pesos E-14'!$E$6,A180))</f>
        <v>3740</v>
      </c>
      <c r="C180" s="97">
        <f>+HLOOKUP('CALCULADORA TIPS Pesos E-14'!$E$4,Tablas!$B$1:$B$181,Flujos!J180+1,FALSE)</f>
        <v>0</v>
      </c>
      <c r="D180" s="98">
        <f t="shared" si="24"/>
        <v>0</v>
      </c>
      <c r="E180" s="99">
        <f t="shared" si="25"/>
        <v>0</v>
      </c>
      <c r="F180" s="99">
        <f>ROUND(D179*ROUND(((1+'CALCULADORA TIPS Pesos E-14'!$C$14)^(1/12)-1),6),6)</f>
        <v>0</v>
      </c>
      <c r="G180" s="99">
        <f t="shared" si="26"/>
        <v>0</v>
      </c>
      <c r="H180" s="100">
        <f>IF($B180=0,0,G180/POWER(1+'CALCULADORA TIPS Pesos E-14'!$F$11,Flujos!$B180/365))</f>
        <v>0</v>
      </c>
      <c r="I180" s="101">
        <f t="shared" si="23"/>
        <v>45710</v>
      </c>
      <c r="J180" s="65">
        <v>178</v>
      </c>
      <c r="K180" s="102">
        <f t="shared" si="27"/>
        <v>5416</v>
      </c>
      <c r="L180" s="106">
        <f t="shared" si="28"/>
        <v>1.621246337890625E-05</v>
      </c>
      <c r="M180" s="103">
        <f t="shared" si="29"/>
        <v>0</v>
      </c>
      <c r="N180" s="103">
        <f t="shared" si="30"/>
        <v>8.389949798583984E-08</v>
      </c>
      <c r="O180" s="104">
        <f t="shared" si="31"/>
        <v>8.389949798583984E-08</v>
      </c>
    </row>
    <row r="181" spans="1:15" ht="12.75">
      <c r="A181" s="95">
        <f t="shared" si="32"/>
        <v>45738</v>
      </c>
      <c r="B181" s="96">
        <f>IF(DIAS365('CALCULADORA TIPS Pesos E-14'!$E$6,A181)&lt;0,0,DIAS365('CALCULADORA TIPS Pesos E-14'!$E$6,A181))</f>
        <v>3768</v>
      </c>
      <c r="C181" s="97">
        <f>+HLOOKUP('CALCULADORA TIPS Pesos E-14'!$E$4,Tablas!$B$1:$B$181,Flujos!J181+1,FALSE)</f>
        <v>0</v>
      </c>
      <c r="D181" s="98">
        <f t="shared" si="24"/>
        <v>0</v>
      </c>
      <c r="E181" s="99">
        <f t="shared" si="25"/>
        <v>0</v>
      </c>
      <c r="F181" s="99">
        <f>ROUND(D180*ROUND(((1+'CALCULADORA TIPS Pesos E-14'!$C$14)^(1/12)-1),6),6)</f>
        <v>0</v>
      </c>
      <c r="G181" s="99">
        <f t="shared" si="26"/>
        <v>0</v>
      </c>
      <c r="H181" s="100">
        <f>IF($B181=0,0,G181/POWER(1+'CALCULADORA TIPS Pesos E-14'!$F$11,Flujos!$B181/365))</f>
        <v>0</v>
      </c>
      <c r="I181" s="101">
        <f t="shared" si="23"/>
        <v>45738</v>
      </c>
      <c r="J181" s="65">
        <v>179</v>
      </c>
      <c r="K181" s="102">
        <f t="shared" si="27"/>
        <v>5444</v>
      </c>
      <c r="L181" s="106">
        <f t="shared" si="28"/>
        <v>1.621246337890625E-05</v>
      </c>
      <c r="M181" s="103">
        <f t="shared" si="29"/>
        <v>0</v>
      </c>
      <c r="N181" s="103">
        <f t="shared" si="30"/>
        <v>8.389949798583984E-08</v>
      </c>
      <c r="O181" s="104">
        <f t="shared" si="31"/>
        <v>8.389949798583984E-08</v>
      </c>
    </row>
    <row r="182" spans="1:15" ht="13.5" thickBot="1">
      <c r="A182" s="95">
        <f t="shared" si="32"/>
        <v>45769</v>
      </c>
      <c r="B182" s="96">
        <f>IF(DIAS365('CALCULADORA TIPS Pesos E-14'!$E$6,A182)&lt;0,0,DIAS365('CALCULADORA TIPS Pesos E-14'!$E$6,A182))</f>
        <v>3799</v>
      </c>
      <c r="C182" s="97">
        <f>+HLOOKUP('CALCULADORA TIPS Pesos E-14'!$E$4,Tablas!$B$1:$B$181,Flujos!J182+1,FALSE)</f>
        <v>0</v>
      </c>
      <c r="D182" s="98">
        <f t="shared" si="24"/>
        <v>0</v>
      </c>
      <c r="E182" s="99">
        <f t="shared" si="25"/>
        <v>0</v>
      </c>
      <c r="F182" s="99">
        <f>ROUND(D181*ROUND(((1+'CALCULADORA TIPS Pesos E-14'!$C$14)^(1/12)-1),6),6)</f>
        <v>0</v>
      </c>
      <c r="G182" s="99">
        <f t="shared" si="26"/>
        <v>0</v>
      </c>
      <c r="H182" s="100">
        <f>IF($B182=0,0,G182/POWER(1+'CALCULADORA TIPS Pesos E-14'!$F$11,Flujos!$B182/365))</f>
        <v>0</v>
      </c>
      <c r="I182" s="107">
        <f t="shared" si="23"/>
        <v>45769</v>
      </c>
      <c r="J182" s="108">
        <v>180</v>
      </c>
      <c r="K182" s="109">
        <f t="shared" si="27"/>
        <v>5475</v>
      </c>
      <c r="L182" s="110">
        <f t="shared" si="28"/>
        <v>1.621246337890625E-05</v>
      </c>
      <c r="M182" s="111">
        <f t="shared" si="29"/>
        <v>0</v>
      </c>
      <c r="N182" s="111">
        <f t="shared" si="30"/>
        <v>8.389949798583984E-08</v>
      </c>
      <c r="O182" s="112">
        <f t="shared" si="31"/>
        <v>8.389949798583984E-08</v>
      </c>
    </row>
    <row r="183" spans="1:15" ht="13.5" thickBot="1">
      <c r="A183" s="113"/>
      <c r="B183" s="114"/>
      <c r="C183" s="115">
        <f>+SUMIF(B2:B182,"&gt;0",C2:C182)</f>
        <v>0.00237205</v>
      </c>
      <c r="D183" s="116"/>
      <c r="E183" s="117">
        <f>SUM(E2:E182)</f>
        <v>99.99999999999999</v>
      </c>
      <c r="F183" s="117">
        <f>SUM(F2:F182)</f>
        <v>10.789324999999996</v>
      </c>
      <c r="G183" s="117">
        <f>SUM(G2:G182)</f>
        <v>110.78932500000002</v>
      </c>
      <c r="H183" s="118">
        <f>SUM(H2:H182)</f>
        <v>0.23730102174132237</v>
      </c>
      <c r="I183" s="60"/>
      <c r="L183" s="120" t="s">
        <v>59</v>
      </c>
      <c r="M183" s="121">
        <f>SUM(M2:M182)</f>
        <v>421576273687.317</v>
      </c>
      <c r="N183" s="121">
        <f>SUM(N2:N182)</f>
        <v>45485238374.92886</v>
      </c>
      <c r="O183" s="122">
        <f>SUM(O2:O182)</f>
        <v>467061512062.24567</v>
      </c>
    </row>
  </sheetData>
  <sheetProtection password="C539" sheet="1"/>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M185"/>
  <sheetViews>
    <sheetView zoomScalePageLayoutView="0" workbookViewId="0" topLeftCell="A1">
      <pane xSplit="1" ySplit="2" topLeftCell="B48" activePane="bottomRight" state="frozen"/>
      <selection pane="topLeft" activeCell="A1" sqref="A1"/>
      <selection pane="topRight" activeCell="B1" sqref="B1"/>
      <selection pane="bottomLeft" activeCell="A3" sqref="A3"/>
      <selection pane="bottomRight" activeCell="A3" sqref="A3"/>
    </sheetView>
  </sheetViews>
  <sheetFormatPr defaultColWidth="11.421875" defaultRowHeight="12.75"/>
  <cols>
    <col min="1" max="1" width="10.140625" style="65" bestFit="1" customWidth="1"/>
    <col min="2" max="2" width="33.8515625" style="65" bestFit="1" customWidth="1"/>
    <col min="3" max="3" width="3.421875" style="65" customWidth="1"/>
    <col min="4" max="4" width="30.28125" style="65" bestFit="1" customWidth="1"/>
    <col min="5" max="5" width="3.421875" style="65" customWidth="1"/>
    <col min="6" max="6" width="35.28125" style="65" bestFit="1" customWidth="1"/>
    <col min="7" max="7" width="3.421875" style="65" customWidth="1"/>
    <col min="8" max="8" width="29.57421875" style="65" bestFit="1" customWidth="1"/>
    <col min="9" max="9" width="3.421875" style="65" customWidth="1"/>
    <col min="10" max="10" width="24.421875" style="65" bestFit="1" customWidth="1"/>
    <col min="11" max="11" width="3.421875" style="65" customWidth="1"/>
    <col min="12" max="12" width="29.140625" style="65" bestFit="1" customWidth="1"/>
    <col min="13" max="16384" width="11.421875" style="65" customWidth="1"/>
  </cols>
  <sheetData>
    <row r="1" spans="1:12" ht="13.5" thickBot="1">
      <c r="A1" s="184" t="s">
        <v>1</v>
      </c>
      <c r="B1" s="135" t="s">
        <v>68</v>
      </c>
      <c r="D1" s="135" t="s">
        <v>69</v>
      </c>
      <c r="F1" s="135" t="s">
        <v>70</v>
      </c>
      <c r="H1" s="135" t="s">
        <v>71</v>
      </c>
      <c r="J1" s="135" t="s">
        <v>72</v>
      </c>
      <c r="L1" s="135" t="s">
        <v>5</v>
      </c>
    </row>
    <row r="2" spans="1:12" ht="13.5" thickBot="1">
      <c r="A2" s="185"/>
      <c r="B2" s="124" t="str">
        <f>+Características!$B$1</f>
        <v>TIPS Pesos E-14 A 2020</v>
      </c>
      <c r="D2" s="124" t="str">
        <f>+Características!$B$1</f>
        <v>TIPS Pesos E-14 A 2020</v>
      </c>
      <c r="F2" s="124" t="str">
        <f>+Características!$B$1</f>
        <v>TIPS Pesos E-14 A 2020</v>
      </c>
      <c r="H2" s="124" t="str">
        <f>+Características!$B$1</f>
        <v>TIPS Pesos E-14 A 2020</v>
      </c>
      <c r="J2" s="124" t="str">
        <f>+Características!$B$1</f>
        <v>TIPS Pesos E-14 A 2020</v>
      </c>
      <c r="L2" s="124" t="str">
        <f>+Características!$B$1</f>
        <v>TIPS Pesos E-14 A 2020</v>
      </c>
    </row>
    <row r="3" spans="1:12" ht="12.75">
      <c r="A3" s="127">
        <f>+_XLL.FECHA.MES(Características!B4,1)</f>
        <v>40320</v>
      </c>
      <c r="B3" s="154">
        <v>0.02273983</v>
      </c>
      <c r="D3" s="45">
        <v>0.02273983</v>
      </c>
      <c r="F3" s="45">
        <v>0.02273983</v>
      </c>
      <c r="H3" s="45">
        <v>0.02273983</v>
      </c>
      <c r="J3" s="45">
        <v>0.02273983</v>
      </c>
      <c r="L3" s="45">
        <v>0.02273983</v>
      </c>
    </row>
    <row r="4" spans="1:12" ht="12.75">
      <c r="A4" s="127">
        <f aca="true" t="shared" si="0" ref="A4:A35">+_XLL.FECHA.MES(A3,1)</f>
        <v>40351</v>
      </c>
      <c r="B4" s="45">
        <v>0.01647674</v>
      </c>
      <c r="D4" s="45">
        <v>0.01647674</v>
      </c>
      <c r="F4" s="45">
        <v>0.01647674</v>
      </c>
      <c r="H4" s="45">
        <v>0.01647674</v>
      </c>
      <c r="J4" s="45">
        <v>0.01647674</v>
      </c>
      <c r="L4" s="45">
        <v>0.01647674</v>
      </c>
    </row>
    <row r="5" spans="1:12" ht="12.75">
      <c r="A5" s="127">
        <f t="shared" si="0"/>
        <v>40381</v>
      </c>
      <c r="B5" s="45">
        <v>0.03118638</v>
      </c>
      <c r="D5" s="45">
        <v>0.03118638</v>
      </c>
      <c r="F5" s="45">
        <v>0.03118638</v>
      </c>
      <c r="H5" s="45">
        <v>0.03118638</v>
      </c>
      <c r="J5" s="45">
        <v>0.03118638</v>
      </c>
      <c r="L5" s="45">
        <v>0.03118638</v>
      </c>
    </row>
    <row r="6" spans="1:12" ht="12.75">
      <c r="A6" s="127">
        <f t="shared" si="0"/>
        <v>40412</v>
      </c>
      <c r="B6" s="45">
        <v>0.02786144</v>
      </c>
      <c r="D6" s="45">
        <v>0.02786144</v>
      </c>
      <c r="F6" s="45">
        <v>0.02786144</v>
      </c>
      <c r="H6" s="45">
        <v>0.02786144</v>
      </c>
      <c r="J6" s="45">
        <v>0.02786144</v>
      </c>
      <c r="L6" s="45">
        <v>0.02786144</v>
      </c>
    </row>
    <row r="7" spans="1:12" ht="12.75">
      <c r="A7" s="127">
        <f t="shared" si="0"/>
        <v>40443</v>
      </c>
      <c r="B7" s="45">
        <v>0.03057498</v>
      </c>
      <c r="D7" s="45">
        <v>0.03057498</v>
      </c>
      <c r="F7" s="45">
        <v>0.03057498</v>
      </c>
      <c r="H7" s="45">
        <v>0.03057498</v>
      </c>
      <c r="J7" s="45">
        <v>0.03057498</v>
      </c>
      <c r="L7" s="45">
        <v>0.03057498</v>
      </c>
    </row>
    <row r="8" spans="1:12" ht="12.75">
      <c r="A8" s="127">
        <f t="shared" si="0"/>
        <v>40473</v>
      </c>
      <c r="B8" s="45">
        <v>0.04545561</v>
      </c>
      <c r="D8" s="45">
        <v>0.04545561</v>
      </c>
      <c r="F8" s="45">
        <v>0.04545561</v>
      </c>
      <c r="H8" s="45">
        <v>0.04545561</v>
      </c>
      <c r="J8" s="45">
        <v>0.04545561</v>
      </c>
      <c r="L8" s="45">
        <v>0.04545561</v>
      </c>
    </row>
    <row r="9" spans="1:12" ht="12.75">
      <c r="A9" s="127">
        <f t="shared" si="0"/>
        <v>40504</v>
      </c>
      <c r="B9" s="45">
        <v>0.05209354</v>
      </c>
      <c r="D9" s="45">
        <v>0.05209354</v>
      </c>
      <c r="F9" s="45">
        <v>0.05209354</v>
      </c>
      <c r="H9" s="45">
        <v>0.05209354</v>
      </c>
      <c r="J9" s="45">
        <v>0.05209354</v>
      </c>
      <c r="L9" s="45">
        <v>0.05209354</v>
      </c>
    </row>
    <row r="10" spans="1:12" ht="12.75">
      <c r="A10" s="127">
        <f t="shared" si="0"/>
        <v>40534</v>
      </c>
      <c r="B10" s="45">
        <v>0.03727304</v>
      </c>
      <c r="D10" s="45">
        <v>0.03727304</v>
      </c>
      <c r="F10" s="45">
        <v>0.03727304</v>
      </c>
      <c r="H10" s="45">
        <v>0.03727304</v>
      </c>
      <c r="J10" s="45">
        <v>0.03727304</v>
      </c>
      <c r="L10" s="45">
        <v>0.03727304</v>
      </c>
    </row>
    <row r="11" spans="1:12" ht="12.75">
      <c r="A11" s="127">
        <f t="shared" si="0"/>
        <v>40565</v>
      </c>
      <c r="B11" s="45">
        <v>0.032033</v>
      </c>
      <c r="D11" s="45">
        <v>0.032033</v>
      </c>
      <c r="F11" s="45">
        <v>0.032033</v>
      </c>
      <c r="H11" s="45">
        <v>0.032033</v>
      </c>
      <c r="J11" s="45">
        <v>0.032033</v>
      </c>
      <c r="L11" s="45">
        <v>0.032033</v>
      </c>
    </row>
    <row r="12" spans="1:12" ht="12.75">
      <c r="A12" s="127">
        <f t="shared" si="0"/>
        <v>40596</v>
      </c>
      <c r="B12" s="45">
        <v>0.0301387</v>
      </c>
      <c r="D12" s="45">
        <v>0.0301387</v>
      </c>
      <c r="F12" s="45">
        <v>0.0301387</v>
      </c>
      <c r="H12" s="45">
        <v>0.0301387</v>
      </c>
      <c r="J12" s="45">
        <v>0.0301387</v>
      </c>
      <c r="L12" s="45">
        <v>0.0301387</v>
      </c>
    </row>
    <row r="13" spans="1:12" ht="12.75">
      <c r="A13" s="127">
        <f t="shared" si="0"/>
        <v>40624</v>
      </c>
      <c r="B13" s="45">
        <v>0.03311369</v>
      </c>
      <c r="D13" s="45">
        <v>0.03311369</v>
      </c>
      <c r="F13" s="45">
        <v>0.03311369</v>
      </c>
      <c r="H13" s="45">
        <v>0.03311369</v>
      </c>
      <c r="J13" s="45">
        <v>0.03311369</v>
      </c>
      <c r="L13" s="45">
        <v>0.03311369</v>
      </c>
    </row>
    <row r="14" spans="1:12" ht="12.75">
      <c r="A14" s="127">
        <f t="shared" si="0"/>
        <v>40655</v>
      </c>
      <c r="B14" s="45">
        <v>0.0283669</v>
      </c>
      <c r="D14" s="45">
        <v>0.0283669</v>
      </c>
      <c r="F14" s="45">
        <v>0.0283669</v>
      </c>
      <c r="H14" s="45">
        <v>0.0283669</v>
      </c>
      <c r="J14" s="45">
        <v>0.0283669</v>
      </c>
      <c r="L14" s="45">
        <v>0.0283669</v>
      </c>
    </row>
    <row r="15" spans="1:12" ht="12.75">
      <c r="A15" s="127">
        <f t="shared" si="0"/>
        <v>40685</v>
      </c>
      <c r="B15" s="45">
        <v>0.0213269</v>
      </c>
      <c r="D15" s="45">
        <v>0.0213269</v>
      </c>
      <c r="F15" s="45">
        <v>0.0213269</v>
      </c>
      <c r="H15" s="45">
        <v>0.0213269</v>
      </c>
      <c r="J15" s="45">
        <v>0.0213269</v>
      </c>
      <c r="L15" s="45">
        <v>0.0213269</v>
      </c>
    </row>
    <row r="16" spans="1:12" ht="12.75">
      <c r="A16" s="127">
        <f t="shared" si="0"/>
        <v>40716</v>
      </c>
      <c r="B16" s="45">
        <v>0.03129923</v>
      </c>
      <c r="D16" s="45">
        <v>0.03129923</v>
      </c>
      <c r="F16" s="45">
        <v>0.03129923</v>
      </c>
      <c r="H16" s="45">
        <v>0.03129923</v>
      </c>
      <c r="J16" s="45">
        <v>0.03129923</v>
      </c>
      <c r="L16" s="45">
        <v>0.03129923</v>
      </c>
    </row>
    <row r="17" spans="1:12" ht="12.75">
      <c r="A17" s="127">
        <f t="shared" si="0"/>
        <v>40746</v>
      </c>
      <c r="B17" s="45">
        <v>0.02946741</v>
      </c>
      <c r="D17" s="45">
        <v>0.02946741</v>
      </c>
      <c r="F17" s="45">
        <v>0.02946741</v>
      </c>
      <c r="H17" s="45">
        <v>0.02946741</v>
      </c>
      <c r="J17" s="45">
        <v>0.02946741</v>
      </c>
      <c r="L17" s="45">
        <v>0.02946741</v>
      </c>
    </row>
    <row r="18" spans="1:12" ht="12.75">
      <c r="A18" s="127">
        <f t="shared" si="0"/>
        <v>40777</v>
      </c>
      <c r="B18" s="45">
        <v>0.0211245</v>
      </c>
      <c r="D18" s="45">
        <v>0.0211245</v>
      </c>
      <c r="F18" s="45">
        <v>0.0211245</v>
      </c>
      <c r="H18" s="45">
        <v>0.0211245</v>
      </c>
      <c r="J18" s="45">
        <v>0.0211245</v>
      </c>
      <c r="L18" s="45">
        <v>0.0211245</v>
      </c>
    </row>
    <row r="19" spans="1:12" ht="12.75">
      <c r="A19" s="127">
        <f t="shared" si="0"/>
        <v>40808</v>
      </c>
      <c r="B19" s="45">
        <v>0.0226958</v>
      </c>
      <c r="D19" s="45">
        <v>0.0226958</v>
      </c>
      <c r="F19" s="45">
        <v>0.0226958</v>
      </c>
      <c r="H19" s="45">
        <v>0.0226958</v>
      </c>
      <c r="J19" s="45">
        <v>0.0226958</v>
      </c>
      <c r="L19" s="45">
        <v>0.0226958</v>
      </c>
    </row>
    <row r="20" spans="1:12" ht="12.75">
      <c r="A20" s="127">
        <f t="shared" si="0"/>
        <v>40838</v>
      </c>
      <c r="B20" s="45">
        <v>0.02048302</v>
      </c>
      <c r="D20" s="45">
        <v>0.02048302</v>
      </c>
      <c r="F20" s="45">
        <v>0.02048302</v>
      </c>
      <c r="H20" s="45">
        <v>0.02048302</v>
      </c>
      <c r="J20" s="45">
        <v>0.02048302</v>
      </c>
      <c r="L20" s="45">
        <v>0.02048302</v>
      </c>
    </row>
    <row r="21" spans="1:12" ht="12.75">
      <c r="A21" s="127">
        <f t="shared" si="0"/>
        <v>40869</v>
      </c>
      <c r="B21" s="45">
        <v>0.01264077</v>
      </c>
      <c r="D21" s="45">
        <v>0.01264077</v>
      </c>
      <c r="F21" s="45">
        <v>0.01264077</v>
      </c>
      <c r="H21" s="45">
        <v>0.01264077</v>
      </c>
      <c r="J21" s="45">
        <v>0.01264077</v>
      </c>
      <c r="L21" s="45">
        <v>0.01264077</v>
      </c>
    </row>
    <row r="22" spans="1:12" ht="12.75">
      <c r="A22" s="127">
        <f t="shared" si="0"/>
        <v>40899</v>
      </c>
      <c r="B22" s="45">
        <v>0.01800998</v>
      </c>
      <c r="D22" s="45">
        <v>0.01800998</v>
      </c>
      <c r="F22" s="45">
        <v>0.01800998</v>
      </c>
      <c r="H22" s="45">
        <v>0.01800998</v>
      </c>
      <c r="J22" s="45">
        <v>0.01800998</v>
      </c>
      <c r="L22" s="45">
        <v>0.01800998</v>
      </c>
    </row>
    <row r="23" spans="1:12" ht="12.75">
      <c r="A23" s="127">
        <f t="shared" si="0"/>
        <v>40930</v>
      </c>
      <c r="B23" s="45">
        <v>0.01573262</v>
      </c>
      <c r="D23" s="45">
        <v>0.01573262</v>
      </c>
      <c r="F23" s="45">
        <v>0.01573262</v>
      </c>
      <c r="H23" s="45">
        <v>0.01573262</v>
      </c>
      <c r="J23" s="45">
        <v>0.01573262</v>
      </c>
      <c r="L23" s="45">
        <v>0.01573262</v>
      </c>
    </row>
    <row r="24" spans="1:12" ht="12.75">
      <c r="A24" s="127">
        <f t="shared" si="0"/>
        <v>40961</v>
      </c>
      <c r="B24" s="45">
        <v>0.01565051</v>
      </c>
      <c r="D24" s="45">
        <v>0.01565051</v>
      </c>
      <c r="F24" s="45">
        <v>0.01565051</v>
      </c>
      <c r="H24" s="45">
        <v>0.01565051</v>
      </c>
      <c r="J24" s="45">
        <v>0.01565051</v>
      </c>
      <c r="L24" s="45">
        <v>0.01565051</v>
      </c>
    </row>
    <row r="25" spans="1:12" ht="12.75">
      <c r="A25" s="127">
        <f t="shared" si="0"/>
        <v>40990</v>
      </c>
      <c r="B25" s="45">
        <v>0.01552321</v>
      </c>
      <c r="D25" s="45">
        <v>0.01552321</v>
      </c>
      <c r="F25" s="45">
        <v>0.01552321</v>
      </c>
      <c r="H25" s="45">
        <v>0.01552321</v>
      </c>
      <c r="J25" s="45">
        <v>0.01552321</v>
      </c>
      <c r="L25" s="45">
        <v>0.01552321</v>
      </c>
    </row>
    <row r="26" spans="1:12" ht="12.75">
      <c r="A26" s="127">
        <f t="shared" si="0"/>
        <v>41021</v>
      </c>
      <c r="B26" s="45">
        <v>0.0140191</v>
      </c>
      <c r="D26" s="45">
        <v>0.0140191</v>
      </c>
      <c r="F26" s="45">
        <v>0.0140191</v>
      </c>
      <c r="H26" s="45">
        <v>0.0140191</v>
      </c>
      <c r="J26" s="45">
        <v>0.0140191</v>
      </c>
      <c r="L26" s="45">
        <v>0.0140191</v>
      </c>
    </row>
    <row r="27" spans="1:12" ht="12.75">
      <c r="A27" s="127">
        <f t="shared" si="0"/>
        <v>41051</v>
      </c>
      <c r="B27" s="45">
        <v>0.01391022</v>
      </c>
      <c r="D27" s="45">
        <v>0.01391022</v>
      </c>
      <c r="F27" s="45">
        <v>0.01391022</v>
      </c>
      <c r="H27" s="45">
        <v>0.01391022</v>
      </c>
      <c r="J27" s="45">
        <v>0.01391022</v>
      </c>
      <c r="L27" s="45">
        <v>0.01391022</v>
      </c>
    </row>
    <row r="28" spans="1:12" ht="12.75">
      <c r="A28" s="127">
        <f t="shared" si="0"/>
        <v>41082</v>
      </c>
      <c r="B28" s="45">
        <v>0.01563832</v>
      </c>
      <c r="D28" s="45">
        <v>0.01563832</v>
      </c>
      <c r="F28" s="45">
        <v>0.01563832</v>
      </c>
      <c r="H28" s="45">
        <v>0.01563832</v>
      </c>
      <c r="J28" s="45">
        <v>0.01563832</v>
      </c>
      <c r="L28" s="45">
        <v>0.01563832</v>
      </c>
    </row>
    <row r="29" spans="1:12" ht="12.75">
      <c r="A29" s="127">
        <f t="shared" si="0"/>
        <v>41112</v>
      </c>
      <c r="B29" s="45">
        <v>0.01122805</v>
      </c>
      <c r="D29" s="45">
        <v>0.01122805</v>
      </c>
      <c r="F29" s="45">
        <v>0.01122805</v>
      </c>
      <c r="H29" s="45">
        <v>0.01122805</v>
      </c>
      <c r="J29" s="45">
        <v>0.01122805</v>
      </c>
      <c r="L29" s="45">
        <v>0.01122805</v>
      </c>
    </row>
    <row r="30" spans="1:12" ht="12.75">
      <c r="A30" s="127">
        <f t="shared" si="0"/>
        <v>41143</v>
      </c>
      <c r="B30" s="45">
        <v>0.01522112</v>
      </c>
      <c r="D30" s="45">
        <v>0.01522112</v>
      </c>
      <c r="F30" s="45">
        <v>0.01522112</v>
      </c>
      <c r="H30" s="45">
        <v>0.01522112</v>
      </c>
      <c r="J30" s="45">
        <v>0.01522112</v>
      </c>
      <c r="L30" s="45">
        <v>0.01522112</v>
      </c>
    </row>
    <row r="31" spans="1:12" ht="12.75">
      <c r="A31" s="127">
        <f t="shared" si="0"/>
        <v>41174</v>
      </c>
      <c r="B31" s="45">
        <v>0.01915152</v>
      </c>
      <c r="D31" s="45">
        <v>0.01915152</v>
      </c>
      <c r="F31" s="45">
        <v>0.01915152</v>
      </c>
      <c r="H31" s="45">
        <v>0.01915152</v>
      </c>
      <c r="J31" s="45">
        <v>0.01915152</v>
      </c>
      <c r="L31" s="45">
        <v>0.01915152</v>
      </c>
    </row>
    <row r="32" spans="1:12" ht="12.75">
      <c r="A32" s="127">
        <f t="shared" si="0"/>
        <v>41204</v>
      </c>
      <c r="B32" s="45">
        <v>0.01367019</v>
      </c>
      <c r="D32" s="45">
        <v>0.01367019</v>
      </c>
      <c r="F32" s="45">
        <v>0.01367019</v>
      </c>
      <c r="H32" s="45">
        <v>0.01367019</v>
      </c>
      <c r="J32" s="45">
        <v>0.01367019</v>
      </c>
      <c r="L32" s="45">
        <v>0.01367019</v>
      </c>
    </row>
    <row r="33" spans="1:12" ht="12.75">
      <c r="A33" s="127">
        <f t="shared" si="0"/>
        <v>41235</v>
      </c>
      <c r="B33" s="45">
        <v>0.01563531</v>
      </c>
      <c r="D33" s="45">
        <v>0.01563531</v>
      </c>
      <c r="F33" s="45">
        <v>0.01563531</v>
      </c>
      <c r="H33" s="45">
        <v>0.01563531</v>
      </c>
      <c r="J33" s="45">
        <v>0.01563531</v>
      </c>
      <c r="L33" s="45">
        <v>0.01563531</v>
      </c>
    </row>
    <row r="34" spans="1:12" ht="12.75">
      <c r="A34" s="127">
        <f t="shared" si="0"/>
        <v>41265</v>
      </c>
      <c r="B34" s="45">
        <v>0.02511785</v>
      </c>
      <c r="D34" s="45">
        <v>0.02511785</v>
      </c>
      <c r="F34" s="45">
        <v>0.02511785</v>
      </c>
      <c r="H34" s="45">
        <v>0.02511785</v>
      </c>
      <c r="J34" s="45">
        <v>0.02511785</v>
      </c>
      <c r="L34" s="45">
        <v>0.02511785</v>
      </c>
    </row>
    <row r="35" spans="1:12" ht="12.75">
      <c r="A35" s="127">
        <f t="shared" si="0"/>
        <v>41296</v>
      </c>
      <c r="B35" s="45">
        <v>0.01233616</v>
      </c>
      <c r="D35" s="45">
        <v>0.01233616</v>
      </c>
      <c r="F35" s="45">
        <v>0.01233616</v>
      </c>
      <c r="H35" s="45">
        <v>0.01233616</v>
      </c>
      <c r="J35" s="45">
        <v>0.01233616</v>
      </c>
      <c r="L35" s="45">
        <v>0.01233616</v>
      </c>
    </row>
    <row r="36" spans="1:12" ht="12.75">
      <c r="A36" s="127">
        <f aca="true" t="shared" si="1" ref="A36:A67">+_XLL.FECHA.MES(A35,1)</f>
        <v>41327</v>
      </c>
      <c r="B36" s="45">
        <v>0.01196947</v>
      </c>
      <c r="D36" s="45">
        <v>0.01196947</v>
      </c>
      <c r="F36" s="45">
        <v>0.01196947</v>
      </c>
      <c r="H36" s="45">
        <v>0.01196947</v>
      </c>
      <c r="J36" s="45">
        <v>0.01196947</v>
      </c>
      <c r="L36" s="45">
        <v>0.01196947</v>
      </c>
    </row>
    <row r="37" spans="1:12" ht="12.75">
      <c r="A37" s="127">
        <f t="shared" si="1"/>
        <v>41355</v>
      </c>
      <c r="B37" s="45">
        <v>0.01349256</v>
      </c>
      <c r="D37" s="45">
        <v>0.01349256</v>
      </c>
      <c r="F37" s="45">
        <v>0.01349256</v>
      </c>
      <c r="H37" s="45">
        <v>0.01349256</v>
      </c>
      <c r="J37" s="45">
        <v>0.01349256</v>
      </c>
      <c r="L37" s="45">
        <v>0.01349256</v>
      </c>
    </row>
    <row r="38" spans="1:12" ht="12.75">
      <c r="A38" s="127">
        <f t="shared" si="1"/>
        <v>41386</v>
      </c>
      <c r="B38" s="45">
        <v>0.01397478</v>
      </c>
      <c r="D38" s="45">
        <v>0.01397478</v>
      </c>
      <c r="F38" s="45">
        <v>0.01397478</v>
      </c>
      <c r="H38" s="45">
        <v>0.01397478</v>
      </c>
      <c r="J38" s="45">
        <v>0.01397478</v>
      </c>
      <c r="L38" s="45">
        <v>0.01397478</v>
      </c>
    </row>
    <row r="39" spans="1:12" ht="12.75">
      <c r="A39" s="127">
        <f t="shared" si="1"/>
        <v>41416</v>
      </c>
      <c r="B39" s="45">
        <v>0.01431708</v>
      </c>
      <c r="D39" s="45">
        <v>0.01431708</v>
      </c>
      <c r="F39" s="45">
        <v>0.01431708</v>
      </c>
      <c r="H39" s="45">
        <v>0.01431708</v>
      </c>
      <c r="J39" s="45">
        <v>0.01431708</v>
      </c>
      <c r="L39" s="45">
        <v>0.01431708</v>
      </c>
    </row>
    <row r="40" spans="1:12" ht="12.75">
      <c r="A40" s="127">
        <f t="shared" si="1"/>
        <v>41447</v>
      </c>
      <c r="B40" s="45">
        <v>0.02150747</v>
      </c>
      <c r="D40" s="45">
        <v>0.02150747</v>
      </c>
      <c r="F40" s="45">
        <v>0.02150747</v>
      </c>
      <c r="H40" s="45">
        <v>0.02150747</v>
      </c>
      <c r="J40" s="45">
        <v>0.02150747</v>
      </c>
      <c r="L40" s="45">
        <v>0.02150747</v>
      </c>
    </row>
    <row r="41" spans="1:12" ht="12.75">
      <c r="A41" s="127">
        <f t="shared" si="1"/>
        <v>41477</v>
      </c>
      <c r="B41" s="45">
        <v>0.01906017</v>
      </c>
      <c r="D41" s="45">
        <v>0.01906017</v>
      </c>
      <c r="F41" s="45">
        <v>0.01906017</v>
      </c>
      <c r="H41" s="45">
        <v>0.01906017</v>
      </c>
      <c r="J41" s="45">
        <v>0.01906017</v>
      </c>
      <c r="L41" s="45">
        <v>0.01906017</v>
      </c>
    </row>
    <row r="42" spans="1:12" ht="12.75">
      <c r="A42" s="127">
        <f t="shared" si="1"/>
        <v>41508</v>
      </c>
      <c r="B42" s="45">
        <v>0.01739952</v>
      </c>
      <c r="D42" s="45">
        <v>0.01739952</v>
      </c>
      <c r="F42" s="45">
        <v>0.01739952</v>
      </c>
      <c r="H42" s="45">
        <v>0.01739952</v>
      </c>
      <c r="J42" s="45">
        <v>0.01739952</v>
      </c>
      <c r="L42" s="45">
        <v>0.01739952</v>
      </c>
    </row>
    <row r="43" spans="1:12" ht="12.75">
      <c r="A43" s="127">
        <f t="shared" si="1"/>
        <v>41539</v>
      </c>
      <c r="B43" s="45">
        <v>0.01349764</v>
      </c>
      <c r="D43" s="45">
        <v>0.01349764</v>
      </c>
      <c r="F43" s="45">
        <v>0.01349764</v>
      </c>
      <c r="H43" s="45">
        <v>0.01349764</v>
      </c>
      <c r="J43" s="45">
        <v>0.01349764</v>
      </c>
      <c r="L43" s="45">
        <v>0.01349764</v>
      </c>
    </row>
    <row r="44" spans="1:12" ht="12.75">
      <c r="A44" s="127">
        <f t="shared" si="1"/>
        <v>41569</v>
      </c>
      <c r="B44" s="45">
        <v>0.01251497</v>
      </c>
      <c r="D44" s="45">
        <v>0.01251497</v>
      </c>
      <c r="F44" s="45">
        <v>0.01251497</v>
      </c>
      <c r="H44" s="45">
        <v>0.01251497</v>
      </c>
      <c r="J44" s="45">
        <v>0.01251497</v>
      </c>
      <c r="L44" s="45">
        <v>0.01251497</v>
      </c>
    </row>
    <row r="45" spans="1:12" ht="12.75">
      <c r="A45" s="127">
        <f t="shared" si="1"/>
        <v>41600</v>
      </c>
      <c r="B45" s="45">
        <v>0.01031109</v>
      </c>
      <c r="D45" s="45">
        <v>0.01031109</v>
      </c>
      <c r="F45" s="45">
        <v>0.01031109</v>
      </c>
      <c r="H45" s="45">
        <v>0.01031109</v>
      </c>
      <c r="J45" s="45">
        <v>0.01031109</v>
      </c>
      <c r="L45" s="45">
        <v>0.01031109</v>
      </c>
    </row>
    <row r="46" spans="1:12" ht="12.75">
      <c r="A46" s="127">
        <f t="shared" si="1"/>
        <v>41630</v>
      </c>
      <c r="B46" s="45">
        <v>0.00981517</v>
      </c>
      <c r="D46" s="45">
        <v>0.00981517</v>
      </c>
      <c r="F46" s="45">
        <v>0.00981517</v>
      </c>
      <c r="H46" s="45">
        <v>0.00981517</v>
      </c>
      <c r="J46" s="45">
        <v>0.00981517</v>
      </c>
      <c r="L46" s="45">
        <v>0.00981517</v>
      </c>
    </row>
    <row r="47" spans="1:12" ht="12.75">
      <c r="A47" s="127">
        <f t="shared" si="1"/>
        <v>41661</v>
      </c>
      <c r="B47" s="45">
        <v>0.00749479</v>
      </c>
      <c r="D47" s="45">
        <v>0.00749479</v>
      </c>
      <c r="F47" s="45">
        <v>0.00749479</v>
      </c>
      <c r="H47" s="45">
        <v>0.00749479</v>
      </c>
      <c r="J47" s="45">
        <v>0.00749479</v>
      </c>
      <c r="L47" s="45">
        <v>0.00749479</v>
      </c>
    </row>
    <row r="48" spans="1:12" ht="12.75">
      <c r="A48" s="127">
        <f t="shared" si="1"/>
        <v>41692</v>
      </c>
      <c r="B48" s="45">
        <v>0.01086581</v>
      </c>
      <c r="D48" s="45">
        <v>0.01086581</v>
      </c>
      <c r="F48" s="45">
        <v>0.01086581</v>
      </c>
      <c r="H48" s="45">
        <v>0.01086581</v>
      </c>
      <c r="J48" s="45">
        <v>0.01086581</v>
      </c>
      <c r="L48" s="45">
        <v>0.01086581</v>
      </c>
    </row>
    <row r="49" spans="1:12" ht="12.75">
      <c r="A49" s="127">
        <f t="shared" si="1"/>
        <v>41720</v>
      </c>
      <c r="B49" s="45">
        <v>0.00865934</v>
      </c>
      <c r="D49" s="45">
        <v>0.00865934</v>
      </c>
      <c r="F49" s="45">
        <v>0.00865934</v>
      </c>
      <c r="H49" s="45">
        <v>0.00865934</v>
      </c>
      <c r="J49" s="45">
        <v>0.00865934</v>
      </c>
      <c r="L49" s="45">
        <v>0.00865934</v>
      </c>
    </row>
    <row r="50" spans="1:12" ht="12.75">
      <c r="A50" s="127">
        <f t="shared" si="1"/>
        <v>41751</v>
      </c>
      <c r="B50" s="45">
        <v>0.00589034</v>
      </c>
      <c r="D50" s="45">
        <v>0.00589034</v>
      </c>
      <c r="F50" s="45">
        <v>0.00589034</v>
      </c>
      <c r="H50" s="45">
        <v>0.00589034</v>
      </c>
      <c r="J50" s="45">
        <v>0.00589034</v>
      </c>
      <c r="L50" s="45">
        <v>0.00589034</v>
      </c>
    </row>
    <row r="51" spans="1:12" ht="12.75">
      <c r="A51" s="127">
        <f t="shared" si="1"/>
        <v>41781</v>
      </c>
      <c r="B51" s="45">
        <v>0.00539463</v>
      </c>
      <c r="D51" s="45">
        <v>0.00539463</v>
      </c>
      <c r="F51" s="45">
        <v>0.00539463</v>
      </c>
      <c r="H51" s="45">
        <v>0.00539463</v>
      </c>
      <c r="J51" s="45">
        <v>0.00539463</v>
      </c>
      <c r="L51" s="45">
        <v>0.00539463</v>
      </c>
    </row>
    <row r="52" spans="1:12" ht="12.75">
      <c r="A52" s="127">
        <f t="shared" si="1"/>
        <v>41812</v>
      </c>
      <c r="B52" s="45">
        <v>0.0055258</v>
      </c>
      <c r="D52" s="45">
        <v>0.0055258</v>
      </c>
      <c r="F52" s="45">
        <v>0.0055258</v>
      </c>
      <c r="H52" s="45">
        <v>0.0055258</v>
      </c>
      <c r="J52" s="45">
        <v>0.0055258</v>
      </c>
      <c r="L52" s="45">
        <v>0.0055258</v>
      </c>
    </row>
    <row r="53" spans="1:12" ht="12.75">
      <c r="A53" s="127">
        <f t="shared" si="1"/>
        <v>41842</v>
      </c>
      <c r="B53" s="45">
        <v>0.00615255</v>
      </c>
      <c r="D53" s="45">
        <v>0.00615255</v>
      </c>
      <c r="F53" s="45">
        <v>0.00615255</v>
      </c>
      <c r="H53" s="45">
        <v>0.00615255</v>
      </c>
      <c r="J53" s="45">
        <v>0.00615255</v>
      </c>
      <c r="L53" s="45">
        <v>0.00615255</v>
      </c>
    </row>
    <row r="54" spans="1:12" ht="12.75">
      <c r="A54" s="127">
        <f t="shared" si="1"/>
        <v>41873</v>
      </c>
      <c r="B54" s="45">
        <v>0.00730652</v>
      </c>
      <c r="D54" s="45">
        <v>0.00730652</v>
      </c>
      <c r="F54" s="45">
        <v>0.00730652</v>
      </c>
      <c r="H54" s="45">
        <v>0.00730652</v>
      </c>
      <c r="J54" s="45">
        <v>0.00730652</v>
      </c>
      <c r="L54" s="45">
        <v>0.00730652</v>
      </c>
    </row>
    <row r="55" spans="1:12" s="146" customFormat="1" ht="12.75">
      <c r="A55" s="174">
        <f t="shared" si="1"/>
        <v>41904</v>
      </c>
      <c r="B55" s="175">
        <v>0.00520178</v>
      </c>
      <c r="D55" s="175">
        <v>0.00520178</v>
      </c>
      <c r="F55" s="175">
        <v>0.00520178</v>
      </c>
      <c r="H55" s="175">
        <v>0.00520178</v>
      </c>
      <c r="J55" s="175">
        <v>0.00520178</v>
      </c>
      <c r="L55" s="175">
        <v>0.00520178</v>
      </c>
    </row>
    <row r="56" spans="1:12" s="146" customFormat="1" ht="12.75">
      <c r="A56" s="174">
        <f t="shared" si="1"/>
        <v>41934</v>
      </c>
      <c r="B56" s="175">
        <v>0.00488342</v>
      </c>
      <c r="D56" s="175">
        <v>0.00488342</v>
      </c>
      <c r="F56" s="175">
        <v>0.00488342</v>
      </c>
      <c r="H56" s="175">
        <v>0.00488342</v>
      </c>
      <c r="J56" s="175">
        <v>0.00488342</v>
      </c>
      <c r="L56" s="175">
        <v>0.00488342</v>
      </c>
    </row>
    <row r="57" spans="1:12" s="163" customFormat="1" ht="12.75">
      <c r="A57" s="170">
        <f t="shared" si="1"/>
        <v>41965</v>
      </c>
      <c r="B57" s="173">
        <v>0.00519741</v>
      </c>
      <c r="D57" s="173">
        <v>0.00519741</v>
      </c>
      <c r="F57" s="173">
        <v>0.00519741</v>
      </c>
      <c r="H57" s="173">
        <v>0.00519741</v>
      </c>
      <c r="J57" s="173">
        <v>0.00519741</v>
      </c>
      <c r="L57" s="173">
        <v>0.00519741</v>
      </c>
    </row>
    <row r="58" spans="1:12" ht="12.75">
      <c r="A58" s="127">
        <f t="shared" si="1"/>
        <v>41995</v>
      </c>
      <c r="B58" s="45">
        <v>0</v>
      </c>
      <c r="D58" s="45">
        <v>0.00237205</v>
      </c>
      <c r="F58" s="45">
        <v>0.00237205</v>
      </c>
      <c r="H58" s="45">
        <v>0.00237205</v>
      </c>
      <c r="J58" s="45">
        <v>0.00237205</v>
      </c>
      <c r="L58" s="45">
        <v>0.00237205</v>
      </c>
    </row>
    <row r="59" spans="1:12" ht="12.75">
      <c r="A59" s="127">
        <f t="shared" si="1"/>
        <v>42026</v>
      </c>
      <c r="B59" s="45">
        <v>0</v>
      </c>
      <c r="D59" s="45">
        <v>0</v>
      </c>
      <c r="F59" s="45">
        <v>0</v>
      </c>
      <c r="H59" s="45">
        <v>0</v>
      </c>
      <c r="J59" s="45">
        <v>0</v>
      </c>
      <c r="L59" s="45">
        <v>0</v>
      </c>
    </row>
    <row r="60" spans="1:12" ht="12.75">
      <c r="A60" s="127">
        <f t="shared" si="1"/>
        <v>42057</v>
      </c>
      <c r="B60" s="45">
        <v>0</v>
      </c>
      <c r="D60" s="45">
        <v>0</v>
      </c>
      <c r="F60" s="45">
        <v>0</v>
      </c>
      <c r="H60" s="45">
        <v>0</v>
      </c>
      <c r="J60" s="45">
        <v>0</v>
      </c>
      <c r="L60" s="45">
        <v>0</v>
      </c>
    </row>
    <row r="61" spans="1:12" ht="12.75">
      <c r="A61" s="127">
        <f t="shared" si="1"/>
        <v>42085</v>
      </c>
      <c r="B61" s="45">
        <v>0</v>
      </c>
      <c r="D61" s="45">
        <v>0</v>
      </c>
      <c r="F61" s="45">
        <v>0</v>
      </c>
      <c r="H61" s="45">
        <v>0</v>
      </c>
      <c r="J61" s="45">
        <v>0</v>
      </c>
      <c r="L61" s="45">
        <v>0</v>
      </c>
    </row>
    <row r="62" spans="1:12" ht="12.75">
      <c r="A62" s="127">
        <f t="shared" si="1"/>
        <v>42116</v>
      </c>
      <c r="B62" s="45">
        <v>0</v>
      </c>
      <c r="D62" s="45">
        <v>0</v>
      </c>
      <c r="F62" s="45">
        <v>0</v>
      </c>
      <c r="H62" s="45">
        <v>0</v>
      </c>
      <c r="J62" s="45">
        <v>0</v>
      </c>
      <c r="L62" s="45">
        <v>0</v>
      </c>
    </row>
    <row r="63" spans="1:12" ht="12.75">
      <c r="A63" s="127">
        <f t="shared" si="1"/>
        <v>42146</v>
      </c>
      <c r="B63" s="45">
        <v>0</v>
      </c>
      <c r="D63" s="45">
        <v>0</v>
      </c>
      <c r="F63" s="45">
        <v>0</v>
      </c>
      <c r="H63" s="45">
        <v>0</v>
      </c>
      <c r="J63" s="45">
        <v>0</v>
      </c>
      <c r="L63" s="45">
        <v>0</v>
      </c>
    </row>
    <row r="64" spans="1:12" ht="12.75">
      <c r="A64" s="127">
        <f t="shared" si="1"/>
        <v>42177</v>
      </c>
      <c r="B64" s="45">
        <v>0</v>
      </c>
      <c r="D64" s="45">
        <v>0</v>
      </c>
      <c r="F64" s="45">
        <v>0</v>
      </c>
      <c r="H64" s="45">
        <v>0</v>
      </c>
      <c r="J64" s="45">
        <v>0</v>
      </c>
      <c r="L64" s="45">
        <v>0</v>
      </c>
    </row>
    <row r="65" spans="1:12" ht="12.75">
      <c r="A65" s="127">
        <f t="shared" si="1"/>
        <v>42207</v>
      </c>
      <c r="B65" s="45">
        <v>0</v>
      </c>
      <c r="D65" s="45">
        <v>0</v>
      </c>
      <c r="F65" s="45">
        <v>0</v>
      </c>
      <c r="H65" s="45">
        <v>0</v>
      </c>
      <c r="J65" s="45">
        <v>0</v>
      </c>
      <c r="L65" s="45">
        <v>0</v>
      </c>
    </row>
    <row r="66" spans="1:12" ht="12.75">
      <c r="A66" s="127">
        <f t="shared" si="1"/>
        <v>42238</v>
      </c>
      <c r="B66" s="45">
        <v>0</v>
      </c>
      <c r="D66" s="45">
        <v>0</v>
      </c>
      <c r="F66" s="45">
        <v>0</v>
      </c>
      <c r="H66" s="45">
        <v>0</v>
      </c>
      <c r="J66" s="45">
        <v>0</v>
      </c>
      <c r="L66" s="45">
        <v>0</v>
      </c>
    </row>
    <row r="67" spans="1:12" ht="12.75">
      <c r="A67" s="127">
        <f t="shared" si="1"/>
        <v>42269</v>
      </c>
      <c r="B67" s="45">
        <v>0</v>
      </c>
      <c r="D67" s="45">
        <v>0</v>
      </c>
      <c r="F67" s="45">
        <v>0</v>
      </c>
      <c r="H67" s="45">
        <v>0</v>
      </c>
      <c r="J67" s="45">
        <v>0</v>
      </c>
      <c r="L67" s="45">
        <v>0</v>
      </c>
    </row>
    <row r="68" spans="1:12" ht="12.75">
      <c r="A68" s="127">
        <f aca="true" t="shared" si="2" ref="A68:A99">+_XLL.FECHA.MES(A67,1)</f>
        <v>42299</v>
      </c>
      <c r="B68" s="45">
        <v>0</v>
      </c>
      <c r="D68" s="45">
        <v>0</v>
      </c>
      <c r="F68" s="45">
        <v>0</v>
      </c>
      <c r="H68" s="45">
        <v>0</v>
      </c>
      <c r="J68" s="45">
        <v>0</v>
      </c>
      <c r="L68" s="45">
        <v>0</v>
      </c>
    </row>
    <row r="69" spans="1:12" ht="12.75">
      <c r="A69" s="127">
        <f t="shared" si="2"/>
        <v>42330</v>
      </c>
      <c r="B69" s="45">
        <v>0</v>
      </c>
      <c r="D69" s="45">
        <v>0</v>
      </c>
      <c r="F69" s="45">
        <v>0</v>
      </c>
      <c r="H69" s="45">
        <v>0</v>
      </c>
      <c r="J69" s="45">
        <v>0</v>
      </c>
      <c r="L69" s="45">
        <v>0</v>
      </c>
    </row>
    <row r="70" spans="1:12" ht="12.75">
      <c r="A70" s="127">
        <f t="shared" si="2"/>
        <v>42360</v>
      </c>
      <c r="B70" s="45">
        <v>0</v>
      </c>
      <c r="D70" s="45">
        <v>0</v>
      </c>
      <c r="F70" s="45">
        <v>0</v>
      </c>
      <c r="H70" s="45">
        <v>0</v>
      </c>
      <c r="J70" s="45">
        <v>0</v>
      </c>
      <c r="L70" s="45">
        <v>0</v>
      </c>
    </row>
    <row r="71" spans="1:12" ht="12.75">
      <c r="A71" s="127">
        <f t="shared" si="2"/>
        <v>42391</v>
      </c>
      <c r="B71" s="45">
        <v>0</v>
      </c>
      <c r="D71" s="45">
        <v>0</v>
      </c>
      <c r="F71" s="45">
        <v>0</v>
      </c>
      <c r="H71" s="45">
        <v>0</v>
      </c>
      <c r="J71" s="45">
        <v>0</v>
      </c>
      <c r="L71" s="45">
        <v>0</v>
      </c>
    </row>
    <row r="72" spans="1:12" ht="12.75">
      <c r="A72" s="127">
        <f t="shared" si="2"/>
        <v>42422</v>
      </c>
      <c r="B72" s="45">
        <v>0</v>
      </c>
      <c r="D72" s="45">
        <v>0</v>
      </c>
      <c r="F72" s="45">
        <v>0</v>
      </c>
      <c r="H72" s="45">
        <v>0</v>
      </c>
      <c r="J72" s="45">
        <v>0</v>
      </c>
      <c r="L72" s="45">
        <v>0</v>
      </c>
    </row>
    <row r="73" spans="1:12" ht="12.75">
      <c r="A73" s="127">
        <f t="shared" si="2"/>
        <v>42451</v>
      </c>
      <c r="B73" s="45">
        <v>0</v>
      </c>
      <c r="D73" s="45">
        <v>0</v>
      </c>
      <c r="F73" s="45">
        <v>0</v>
      </c>
      <c r="H73" s="45">
        <v>0</v>
      </c>
      <c r="J73" s="45">
        <v>0</v>
      </c>
      <c r="L73" s="45">
        <v>0</v>
      </c>
    </row>
    <row r="74" spans="1:12" ht="12.75">
      <c r="A74" s="127">
        <f t="shared" si="2"/>
        <v>42482</v>
      </c>
      <c r="B74" s="45">
        <v>0</v>
      </c>
      <c r="D74" s="45">
        <v>0</v>
      </c>
      <c r="F74" s="45">
        <v>0</v>
      </c>
      <c r="H74" s="45">
        <v>0</v>
      </c>
      <c r="J74" s="45">
        <v>0</v>
      </c>
      <c r="L74" s="45">
        <v>0</v>
      </c>
    </row>
    <row r="75" spans="1:12" ht="12.75">
      <c r="A75" s="127">
        <f t="shared" si="2"/>
        <v>42512</v>
      </c>
      <c r="B75" s="45">
        <v>0</v>
      </c>
      <c r="D75" s="45">
        <v>0</v>
      </c>
      <c r="F75" s="45">
        <v>0</v>
      </c>
      <c r="H75" s="45">
        <v>0</v>
      </c>
      <c r="J75" s="45">
        <v>0</v>
      </c>
      <c r="L75" s="45">
        <v>0</v>
      </c>
    </row>
    <row r="76" spans="1:12" ht="12.75">
      <c r="A76" s="127">
        <f t="shared" si="2"/>
        <v>42543</v>
      </c>
      <c r="B76" s="45">
        <v>0</v>
      </c>
      <c r="D76" s="45">
        <v>0</v>
      </c>
      <c r="F76" s="45">
        <v>0</v>
      </c>
      <c r="H76" s="45">
        <v>0</v>
      </c>
      <c r="J76" s="45">
        <v>0</v>
      </c>
      <c r="L76" s="45">
        <v>0</v>
      </c>
    </row>
    <row r="77" spans="1:12" ht="12.75">
      <c r="A77" s="127">
        <f t="shared" si="2"/>
        <v>42573</v>
      </c>
      <c r="B77" s="45">
        <v>0</v>
      </c>
      <c r="D77" s="45">
        <v>0</v>
      </c>
      <c r="F77" s="45">
        <v>0</v>
      </c>
      <c r="H77" s="45">
        <v>0</v>
      </c>
      <c r="J77" s="45">
        <v>0</v>
      </c>
      <c r="L77" s="45">
        <v>0</v>
      </c>
    </row>
    <row r="78" spans="1:12" ht="12.75">
      <c r="A78" s="127">
        <f t="shared" si="2"/>
        <v>42604</v>
      </c>
      <c r="B78" s="45">
        <v>0</v>
      </c>
      <c r="D78" s="45">
        <v>0</v>
      </c>
      <c r="F78" s="45">
        <v>0</v>
      </c>
      <c r="H78" s="45">
        <v>0</v>
      </c>
      <c r="J78" s="45">
        <v>0</v>
      </c>
      <c r="L78" s="45">
        <v>0</v>
      </c>
    </row>
    <row r="79" spans="1:12" ht="12.75">
      <c r="A79" s="127">
        <f t="shared" si="2"/>
        <v>42635</v>
      </c>
      <c r="B79" s="45">
        <v>0</v>
      </c>
      <c r="D79" s="45">
        <v>0</v>
      </c>
      <c r="F79" s="45">
        <v>0</v>
      </c>
      <c r="H79" s="45">
        <v>0</v>
      </c>
      <c r="J79" s="45">
        <v>0</v>
      </c>
      <c r="L79" s="45">
        <v>0</v>
      </c>
    </row>
    <row r="80" spans="1:12" ht="12.75">
      <c r="A80" s="127">
        <f t="shared" si="2"/>
        <v>42665</v>
      </c>
      <c r="B80" s="45">
        <v>0</v>
      </c>
      <c r="D80" s="45">
        <v>0</v>
      </c>
      <c r="F80" s="45">
        <v>0</v>
      </c>
      <c r="H80" s="45">
        <v>0</v>
      </c>
      <c r="J80" s="45">
        <v>0</v>
      </c>
      <c r="L80" s="45">
        <v>0</v>
      </c>
    </row>
    <row r="81" spans="1:12" ht="12.75">
      <c r="A81" s="127">
        <f t="shared" si="2"/>
        <v>42696</v>
      </c>
      <c r="B81" s="45">
        <v>0</v>
      </c>
      <c r="D81" s="45">
        <v>0</v>
      </c>
      <c r="F81" s="45">
        <v>0</v>
      </c>
      <c r="H81" s="45">
        <v>0</v>
      </c>
      <c r="J81" s="45">
        <v>0</v>
      </c>
      <c r="L81" s="45">
        <v>0</v>
      </c>
    </row>
    <row r="82" spans="1:12" ht="12.75">
      <c r="A82" s="127">
        <f t="shared" si="2"/>
        <v>42726</v>
      </c>
      <c r="B82" s="45">
        <v>0</v>
      </c>
      <c r="D82" s="45">
        <v>0</v>
      </c>
      <c r="F82" s="45">
        <v>0</v>
      </c>
      <c r="H82" s="45">
        <v>0</v>
      </c>
      <c r="J82" s="45">
        <v>0</v>
      </c>
      <c r="L82" s="45">
        <v>0</v>
      </c>
    </row>
    <row r="83" spans="1:12" ht="12.75">
      <c r="A83" s="127">
        <f t="shared" si="2"/>
        <v>42757</v>
      </c>
      <c r="B83" s="45">
        <v>0</v>
      </c>
      <c r="D83" s="45">
        <v>0</v>
      </c>
      <c r="F83" s="45">
        <v>0</v>
      </c>
      <c r="H83" s="45">
        <v>0</v>
      </c>
      <c r="J83" s="45">
        <v>0</v>
      </c>
      <c r="L83" s="45">
        <v>0</v>
      </c>
    </row>
    <row r="84" spans="1:12" ht="12.75">
      <c r="A84" s="127">
        <f t="shared" si="2"/>
        <v>42788</v>
      </c>
      <c r="B84" s="45">
        <v>0</v>
      </c>
      <c r="D84" s="45">
        <v>0</v>
      </c>
      <c r="F84" s="45">
        <v>0</v>
      </c>
      <c r="H84" s="45">
        <v>0</v>
      </c>
      <c r="J84" s="45">
        <v>0</v>
      </c>
      <c r="L84" s="45">
        <v>0</v>
      </c>
    </row>
    <row r="85" spans="1:12" ht="12.75">
      <c r="A85" s="127">
        <f t="shared" si="2"/>
        <v>42816</v>
      </c>
      <c r="B85" s="45">
        <v>0</v>
      </c>
      <c r="D85" s="45">
        <v>0</v>
      </c>
      <c r="F85" s="45">
        <v>0</v>
      </c>
      <c r="H85" s="45">
        <v>0</v>
      </c>
      <c r="J85" s="45">
        <v>0</v>
      </c>
      <c r="L85" s="45">
        <v>0</v>
      </c>
    </row>
    <row r="86" spans="1:12" ht="12.75">
      <c r="A86" s="127">
        <f t="shared" si="2"/>
        <v>42847</v>
      </c>
      <c r="B86" s="45">
        <v>0</v>
      </c>
      <c r="D86" s="45">
        <v>0</v>
      </c>
      <c r="F86" s="45">
        <v>0</v>
      </c>
      <c r="H86" s="45">
        <v>0</v>
      </c>
      <c r="J86" s="45">
        <v>0</v>
      </c>
      <c r="L86" s="45">
        <v>0</v>
      </c>
    </row>
    <row r="87" spans="1:12" ht="12.75">
      <c r="A87" s="127">
        <f t="shared" si="2"/>
        <v>42877</v>
      </c>
      <c r="B87" s="45">
        <v>0</v>
      </c>
      <c r="D87" s="45">
        <v>0</v>
      </c>
      <c r="F87" s="45">
        <v>0</v>
      </c>
      <c r="H87" s="45">
        <v>0</v>
      </c>
      <c r="J87" s="45">
        <v>0</v>
      </c>
      <c r="L87" s="45">
        <v>0</v>
      </c>
    </row>
    <row r="88" spans="1:12" ht="12.75">
      <c r="A88" s="127">
        <f t="shared" si="2"/>
        <v>42908</v>
      </c>
      <c r="B88" s="45">
        <v>0</v>
      </c>
      <c r="D88" s="45">
        <v>0</v>
      </c>
      <c r="F88" s="45">
        <v>0</v>
      </c>
      <c r="H88" s="45">
        <v>0</v>
      </c>
      <c r="J88" s="45">
        <v>0</v>
      </c>
      <c r="L88" s="45">
        <v>0</v>
      </c>
    </row>
    <row r="89" spans="1:12" ht="12.75">
      <c r="A89" s="127">
        <f t="shared" si="2"/>
        <v>42938</v>
      </c>
      <c r="B89" s="45">
        <v>0</v>
      </c>
      <c r="D89" s="45">
        <v>0</v>
      </c>
      <c r="F89" s="45">
        <v>0</v>
      </c>
      <c r="H89" s="45">
        <v>0</v>
      </c>
      <c r="J89" s="45">
        <v>0</v>
      </c>
      <c r="L89" s="45">
        <v>0</v>
      </c>
    </row>
    <row r="90" spans="1:12" ht="12.75">
      <c r="A90" s="127">
        <f t="shared" si="2"/>
        <v>42969</v>
      </c>
      <c r="B90" s="45">
        <v>0</v>
      </c>
      <c r="D90" s="45">
        <v>0</v>
      </c>
      <c r="F90" s="45">
        <v>0</v>
      </c>
      <c r="H90" s="45">
        <v>0</v>
      </c>
      <c r="J90" s="45">
        <v>0</v>
      </c>
      <c r="L90" s="45">
        <v>0</v>
      </c>
    </row>
    <row r="91" spans="1:12" ht="12.75">
      <c r="A91" s="127">
        <f t="shared" si="2"/>
        <v>43000</v>
      </c>
      <c r="B91" s="45">
        <v>0</v>
      </c>
      <c r="D91" s="45">
        <v>0</v>
      </c>
      <c r="F91" s="45">
        <v>0</v>
      </c>
      <c r="H91" s="45">
        <v>0</v>
      </c>
      <c r="J91" s="45">
        <v>0</v>
      </c>
      <c r="L91" s="45">
        <v>0</v>
      </c>
    </row>
    <row r="92" spans="1:12" ht="12.75">
      <c r="A92" s="127">
        <f t="shared" si="2"/>
        <v>43030</v>
      </c>
      <c r="B92" s="45">
        <v>0</v>
      </c>
      <c r="D92" s="45">
        <v>0</v>
      </c>
      <c r="F92" s="45">
        <v>0</v>
      </c>
      <c r="H92" s="45">
        <v>0</v>
      </c>
      <c r="J92" s="45">
        <v>0</v>
      </c>
      <c r="L92" s="45">
        <v>0</v>
      </c>
    </row>
    <row r="93" spans="1:12" ht="12.75">
      <c r="A93" s="127">
        <f t="shared" si="2"/>
        <v>43061</v>
      </c>
      <c r="B93" s="45">
        <v>0</v>
      </c>
      <c r="D93" s="45">
        <v>0</v>
      </c>
      <c r="F93" s="45">
        <v>0</v>
      </c>
      <c r="H93" s="45">
        <v>0</v>
      </c>
      <c r="J93" s="45">
        <v>0</v>
      </c>
      <c r="L93" s="45">
        <v>0</v>
      </c>
    </row>
    <row r="94" spans="1:12" ht="12.75">
      <c r="A94" s="127">
        <f t="shared" si="2"/>
        <v>43091</v>
      </c>
      <c r="B94" s="45">
        <v>0</v>
      </c>
      <c r="D94" s="45">
        <v>0</v>
      </c>
      <c r="F94" s="45">
        <v>0</v>
      </c>
      <c r="H94" s="45">
        <v>0</v>
      </c>
      <c r="J94" s="45">
        <v>0</v>
      </c>
      <c r="L94" s="45">
        <v>0</v>
      </c>
    </row>
    <row r="95" spans="1:12" ht="12.75">
      <c r="A95" s="127">
        <f t="shared" si="2"/>
        <v>43122</v>
      </c>
      <c r="B95" s="45">
        <v>0</v>
      </c>
      <c r="D95" s="45">
        <v>0</v>
      </c>
      <c r="F95" s="45">
        <v>0</v>
      </c>
      <c r="H95" s="45">
        <v>0</v>
      </c>
      <c r="J95" s="45">
        <v>0</v>
      </c>
      <c r="L95" s="45">
        <v>0</v>
      </c>
    </row>
    <row r="96" spans="1:12" ht="12.75">
      <c r="A96" s="127">
        <f t="shared" si="2"/>
        <v>43153</v>
      </c>
      <c r="B96" s="45">
        <v>0</v>
      </c>
      <c r="D96" s="45">
        <v>0</v>
      </c>
      <c r="F96" s="45">
        <v>0</v>
      </c>
      <c r="H96" s="45">
        <v>0</v>
      </c>
      <c r="J96" s="45">
        <v>0</v>
      </c>
      <c r="L96" s="45">
        <v>0</v>
      </c>
    </row>
    <row r="97" spans="1:12" ht="12.75">
      <c r="A97" s="127">
        <f t="shared" si="2"/>
        <v>43181</v>
      </c>
      <c r="B97" s="45">
        <v>0</v>
      </c>
      <c r="D97" s="45">
        <v>0</v>
      </c>
      <c r="F97" s="45">
        <v>0</v>
      </c>
      <c r="H97" s="45">
        <v>0</v>
      </c>
      <c r="J97" s="45">
        <v>0</v>
      </c>
      <c r="L97" s="45">
        <v>0</v>
      </c>
    </row>
    <row r="98" spans="1:12" ht="12.75">
      <c r="A98" s="127">
        <f t="shared" si="2"/>
        <v>43212</v>
      </c>
      <c r="B98" s="45">
        <v>0</v>
      </c>
      <c r="D98" s="45">
        <v>0</v>
      </c>
      <c r="F98" s="45">
        <v>0</v>
      </c>
      <c r="H98" s="45">
        <v>0</v>
      </c>
      <c r="J98" s="45">
        <v>0</v>
      </c>
      <c r="L98" s="45">
        <v>0</v>
      </c>
    </row>
    <row r="99" spans="1:12" ht="12.75">
      <c r="A99" s="127">
        <f t="shared" si="2"/>
        <v>43242</v>
      </c>
      <c r="B99" s="45">
        <v>0</v>
      </c>
      <c r="D99" s="45">
        <v>0</v>
      </c>
      <c r="F99" s="45">
        <v>0</v>
      </c>
      <c r="H99" s="45">
        <v>0</v>
      </c>
      <c r="J99" s="45">
        <v>0</v>
      </c>
      <c r="L99" s="45">
        <v>0</v>
      </c>
    </row>
    <row r="100" spans="1:12" ht="12.75">
      <c r="A100" s="127">
        <f aca="true" t="shared" si="3" ref="A100:A131">+_XLL.FECHA.MES(A99,1)</f>
        <v>43273</v>
      </c>
      <c r="B100" s="45">
        <v>0</v>
      </c>
      <c r="D100" s="45">
        <v>0</v>
      </c>
      <c r="F100" s="45">
        <v>0</v>
      </c>
      <c r="H100" s="45">
        <v>0</v>
      </c>
      <c r="J100" s="45">
        <v>0</v>
      </c>
      <c r="L100" s="45">
        <v>0</v>
      </c>
    </row>
    <row r="101" spans="1:12" ht="12.75">
      <c r="A101" s="127">
        <f t="shared" si="3"/>
        <v>43303</v>
      </c>
      <c r="B101" s="45">
        <v>0</v>
      </c>
      <c r="D101" s="45">
        <v>0</v>
      </c>
      <c r="F101" s="45">
        <v>0</v>
      </c>
      <c r="H101" s="45">
        <v>0</v>
      </c>
      <c r="J101" s="45">
        <v>0</v>
      </c>
      <c r="L101" s="45">
        <v>0</v>
      </c>
    </row>
    <row r="102" spans="1:12" ht="12.75">
      <c r="A102" s="127">
        <f t="shared" si="3"/>
        <v>43334</v>
      </c>
      <c r="B102" s="45">
        <v>0</v>
      </c>
      <c r="D102" s="45">
        <v>0</v>
      </c>
      <c r="F102" s="45">
        <v>0</v>
      </c>
      <c r="H102" s="45">
        <v>0</v>
      </c>
      <c r="J102" s="45">
        <v>0</v>
      </c>
      <c r="L102" s="45">
        <v>0</v>
      </c>
    </row>
    <row r="103" spans="1:12" ht="12.75">
      <c r="A103" s="127">
        <f t="shared" si="3"/>
        <v>43365</v>
      </c>
      <c r="B103" s="45">
        <v>0</v>
      </c>
      <c r="D103" s="45">
        <v>0</v>
      </c>
      <c r="F103" s="45">
        <v>0</v>
      </c>
      <c r="H103" s="45">
        <v>0</v>
      </c>
      <c r="J103" s="45">
        <v>0</v>
      </c>
      <c r="L103" s="45">
        <v>0</v>
      </c>
    </row>
    <row r="104" spans="1:12" ht="12.75">
      <c r="A104" s="127">
        <f t="shared" si="3"/>
        <v>43395</v>
      </c>
      <c r="B104" s="45">
        <v>0</v>
      </c>
      <c r="D104" s="45">
        <v>0</v>
      </c>
      <c r="F104" s="45">
        <v>0</v>
      </c>
      <c r="H104" s="45">
        <v>0</v>
      </c>
      <c r="J104" s="45">
        <v>0</v>
      </c>
      <c r="L104" s="45">
        <v>0</v>
      </c>
    </row>
    <row r="105" spans="1:12" ht="12.75">
      <c r="A105" s="127">
        <f t="shared" si="3"/>
        <v>43426</v>
      </c>
      <c r="B105" s="45">
        <v>0</v>
      </c>
      <c r="D105" s="45">
        <v>0</v>
      </c>
      <c r="F105" s="45">
        <v>0</v>
      </c>
      <c r="H105" s="45">
        <v>0</v>
      </c>
      <c r="J105" s="45">
        <v>0</v>
      </c>
      <c r="L105" s="45">
        <v>0</v>
      </c>
    </row>
    <row r="106" spans="1:12" ht="12.75">
      <c r="A106" s="127">
        <f t="shared" si="3"/>
        <v>43456</v>
      </c>
      <c r="B106" s="45">
        <v>0</v>
      </c>
      <c r="D106" s="45">
        <v>0</v>
      </c>
      <c r="F106" s="45">
        <v>0</v>
      </c>
      <c r="H106" s="45">
        <v>0</v>
      </c>
      <c r="J106" s="45">
        <v>0</v>
      </c>
      <c r="L106" s="45">
        <v>0</v>
      </c>
    </row>
    <row r="107" spans="1:12" ht="12.75">
      <c r="A107" s="127">
        <f t="shared" si="3"/>
        <v>43487</v>
      </c>
      <c r="B107" s="45">
        <v>0</v>
      </c>
      <c r="D107" s="45">
        <v>0</v>
      </c>
      <c r="F107" s="45">
        <v>0</v>
      </c>
      <c r="H107" s="45">
        <v>0</v>
      </c>
      <c r="J107" s="45">
        <v>0</v>
      </c>
      <c r="L107" s="45">
        <v>0</v>
      </c>
    </row>
    <row r="108" spans="1:12" ht="12.75">
      <c r="A108" s="127">
        <f t="shared" si="3"/>
        <v>43518</v>
      </c>
      <c r="B108" s="45">
        <v>0</v>
      </c>
      <c r="D108" s="45">
        <v>0</v>
      </c>
      <c r="F108" s="45">
        <v>0</v>
      </c>
      <c r="H108" s="45">
        <v>0</v>
      </c>
      <c r="J108" s="45">
        <v>0</v>
      </c>
      <c r="L108" s="45">
        <v>0</v>
      </c>
    </row>
    <row r="109" spans="1:12" ht="12.75">
      <c r="A109" s="127">
        <f t="shared" si="3"/>
        <v>43546</v>
      </c>
      <c r="B109" s="45">
        <v>0</v>
      </c>
      <c r="D109" s="45">
        <v>0</v>
      </c>
      <c r="F109" s="45">
        <v>0</v>
      </c>
      <c r="H109" s="45">
        <v>0</v>
      </c>
      <c r="J109" s="45">
        <v>0</v>
      </c>
      <c r="L109" s="45">
        <v>0</v>
      </c>
    </row>
    <row r="110" spans="1:12" ht="12.75">
      <c r="A110" s="127">
        <f t="shared" si="3"/>
        <v>43577</v>
      </c>
      <c r="B110" s="45">
        <v>0</v>
      </c>
      <c r="D110" s="45">
        <v>0</v>
      </c>
      <c r="F110" s="45">
        <v>0</v>
      </c>
      <c r="H110" s="45">
        <v>0</v>
      </c>
      <c r="J110" s="45">
        <v>0</v>
      </c>
      <c r="L110" s="45">
        <v>0</v>
      </c>
    </row>
    <row r="111" spans="1:12" ht="12.75">
      <c r="A111" s="127">
        <f t="shared" si="3"/>
        <v>43607</v>
      </c>
      <c r="B111" s="45">
        <v>0</v>
      </c>
      <c r="D111" s="45">
        <v>0</v>
      </c>
      <c r="F111" s="45">
        <v>0</v>
      </c>
      <c r="H111" s="45">
        <v>0</v>
      </c>
      <c r="J111" s="45">
        <v>0</v>
      </c>
      <c r="L111" s="45">
        <v>0</v>
      </c>
    </row>
    <row r="112" spans="1:12" ht="12.75">
      <c r="A112" s="127">
        <f t="shared" si="3"/>
        <v>43638</v>
      </c>
      <c r="B112" s="45">
        <v>0</v>
      </c>
      <c r="D112" s="45">
        <v>0</v>
      </c>
      <c r="F112" s="45">
        <v>0</v>
      </c>
      <c r="H112" s="45">
        <v>0</v>
      </c>
      <c r="J112" s="45">
        <v>0</v>
      </c>
      <c r="L112" s="45">
        <v>0</v>
      </c>
    </row>
    <row r="113" spans="1:12" ht="12.75">
      <c r="A113" s="127">
        <f t="shared" si="3"/>
        <v>43668</v>
      </c>
      <c r="B113" s="45">
        <v>0</v>
      </c>
      <c r="D113" s="45">
        <v>0</v>
      </c>
      <c r="F113" s="45">
        <v>0</v>
      </c>
      <c r="H113" s="45">
        <v>0</v>
      </c>
      <c r="J113" s="45">
        <v>0</v>
      </c>
      <c r="L113" s="45">
        <v>0</v>
      </c>
    </row>
    <row r="114" spans="1:12" ht="12.75">
      <c r="A114" s="127">
        <f t="shared" si="3"/>
        <v>43699</v>
      </c>
      <c r="B114" s="45">
        <v>0</v>
      </c>
      <c r="D114" s="45">
        <v>0</v>
      </c>
      <c r="F114" s="45">
        <v>0</v>
      </c>
      <c r="H114" s="45">
        <v>0</v>
      </c>
      <c r="J114" s="45">
        <v>0</v>
      </c>
      <c r="L114" s="45">
        <v>0</v>
      </c>
    </row>
    <row r="115" spans="1:12" ht="12.75">
      <c r="A115" s="127">
        <f t="shared" si="3"/>
        <v>43730</v>
      </c>
      <c r="B115" s="45">
        <v>0</v>
      </c>
      <c r="D115" s="45">
        <v>0</v>
      </c>
      <c r="F115" s="45">
        <v>0</v>
      </c>
      <c r="H115" s="45">
        <v>0</v>
      </c>
      <c r="J115" s="45">
        <v>0</v>
      </c>
      <c r="L115" s="45">
        <v>0</v>
      </c>
    </row>
    <row r="116" spans="1:12" ht="12.75">
      <c r="A116" s="127">
        <f t="shared" si="3"/>
        <v>43760</v>
      </c>
      <c r="B116" s="45">
        <v>0</v>
      </c>
      <c r="D116" s="45">
        <v>0</v>
      </c>
      <c r="F116" s="45">
        <v>0</v>
      </c>
      <c r="H116" s="45">
        <v>0</v>
      </c>
      <c r="J116" s="45">
        <v>0</v>
      </c>
      <c r="L116" s="45">
        <v>0</v>
      </c>
    </row>
    <row r="117" spans="1:12" ht="12.75">
      <c r="A117" s="127">
        <f t="shared" si="3"/>
        <v>43791</v>
      </c>
      <c r="B117" s="45">
        <v>0</v>
      </c>
      <c r="D117" s="45">
        <v>0</v>
      </c>
      <c r="F117" s="45">
        <v>0</v>
      </c>
      <c r="H117" s="45">
        <v>0</v>
      </c>
      <c r="J117" s="45">
        <v>0</v>
      </c>
      <c r="L117" s="45">
        <v>0</v>
      </c>
    </row>
    <row r="118" spans="1:12" ht="12.75">
      <c r="A118" s="127">
        <f t="shared" si="3"/>
        <v>43821</v>
      </c>
      <c r="B118" s="45">
        <v>0</v>
      </c>
      <c r="D118" s="45">
        <v>0</v>
      </c>
      <c r="F118" s="45">
        <v>0</v>
      </c>
      <c r="H118" s="45">
        <v>0</v>
      </c>
      <c r="J118" s="45">
        <v>0</v>
      </c>
      <c r="L118" s="45">
        <v>0</v>
      </c>
    </row>
    <row r="119" spans="1:12" ht="12.75">
      <c r="A119" s="127">
        <f t="shared" si="3"/>
        <v>43852</v>
      </c>
      <c r="B119" s="45">
        <v>0</v>
      </c>
      <c r="D119" s="45">
        <v>0</v>
      </c>
      <c r="F119" s="45">
        <v>0</v>
      </c>
      <c r="H119" s="45">
        <v>0</v>
      </c>
      <c r="J119" s="45">
        <v>0</v>
      </c>
      <c r="L119" s="45">
        <v>0</v>
      </c>
    </row>
    <row r="120" spans="1:12" ht="12.75">
      <c r="A120" s="127">
        <f t="shared" si="3"/>
        <v>43883</v>
      </c>
      <c r="B120" s="45">
        <v>0</v>
      </c>
      <c r="D120" s="45">
        <v>0</v>
      </c>
      <c r="F120" s="45">
        <v>0</v>
      </c>
      <c r="H120" s="45">
        <v>0</v>
      </c>
      <c r="J120" s="45">
        <v>0</v>
      </c>
      <c r="L120" s="45">
        <v>0</v>
      </c>
    </row>
    <row r="121" spans="1:12" ht="12.75">
      <c r="A121" s="127">
        <f t="shared" si="3"/>
        <v>43912</v>
      </c>
      <c r="B121" s="45">
        <v>0</v>
      </c>
      <c r="D121" s="45">
        <v>0</v>
      </c>
      <c r="F121" s="45">
        <v>0</v>
      </c>
      <c r="H121" s="45">
        <v>0</v>
      </c>
      <c r="J121" s="45">
        <v>0</v>
      </c>
      <c r="L121" s="45">
        <v>0</v>
      </c>
    </row>
    <row r="122" spans="1:12" ht="12.75">
      <c r="A122" s="127">
        <f t="shared" si="3"/>
        <v>43943</v>
      </c>
      <c r="B122" s="45">
        <v>0.00237205</v>
      </c>
      <c r="D122" s="45">
        <v>0</v>
      </c>
      <c r="F122" s="45">
        <v>0</v>
      </c>
      <c r="H122" s="45">
        <v>0</v>
      </c>
      <c r="J122" s="45">
        <v>0</v>
      </c>
      <c r="L122" s="45">
        <v>0</v>
      </c>
    </row>
    <row r="123" spans="1:12" ht="12.75">
      <c r="A123" s="127">
        <f t="shared" si="3"/>
        <v>43973</v>
      </c>
      <c r="B123" s="45">
        <v>0</v>
      </c>
      <c r="D123" s="45">
        <v>0</v>
      </c>
      <c r="F123" s="45">
        <v>0</v>
      </c>
      <c r="H123" s="45">
        <v>0</v>
      </c>
      <c r="J123" s="45">
        <v>0</v>
      </c>
      <c r="L123" s="45">
        <v>0</v>
      </c>
    </row>
    <row r="124" spans="1:12" ht="12.75">
      <c r="A124" s="127">
        <f t="shared" si="3"/>
        <v>44004</v>
      </c>
      <c r="B124" s="45">
        <v>0</v>
      </c>
      <c r="D124" s="45">
        <v>0</v>
      </c>
      <c r="F124" s="45">
        <v>0</v>
      </c>
      <c r="H124" s="45">
        <v>0</v>
      </c>
      <c r="J124" s="45">
        <v>0</v>
      </c>
      <c r="L124" s="45">
        <v>0</v>
      </c>
    </row>
    <row r="125" spans="1:12" ht="12.75">
      <c r="A125" s="127">
        <f t="shared" si="3"/>
        <v>44034</v>
      </c>
      <c r="B125" s="45">
        <v>0</v>
      </c>
      <c r="D125" s="45">
        <v>0</v>
      </c>
      <c r="F125" s="45">
        <v>0</v>
      </c>
      <c r="H125" s="45">
        <v>0</v>
      </c>
      <c r="J125" s="45">
        <v>0</v>
      </c>
      <c r="L125" s="45">
        <v>0</v>
      </c>
    </row>
    <row r="126" spans="1:12" ht="12.75">
      <c r="A126" s="127">
        <f t="shared" si="3"/>
        <v>44065</v>
      </c>
      <c r="B126" s="45">
        <v>0</v>
      </c>
      <c r="D126" s="45">
        <v>0</v>
      </c>
      <c r="F126" s="45">
        <v>0</v>
      </c>
      <c r="H126" s="45">
        <v>0</v>
      </c>
      <c r="J126" s="45">
        <v>0</v>
      </c>
      <c r="L126" s="45">
        <v>0</v>
      </c>
    </row>
    <row r="127" spans="1:12" ht="12.75">
      <c r="A127" s="127">
        <f t="shared" si="3"/>
        <v>44096</v>
      </c>
      <c r="B127" s="45">
        <v>0</v>
      </c>
      <c r="D127" s="45">
        <v>0</v>
      </c>
      <c r="F127" s="45">
        <v>0</v>
      </c>
      <c r="H127" s="45">
        <v>0</v>
      </c>
      <c r="J127" s="45">
        <v>0</v>
      </c>
      <c r="L127" s="45">
        <v>0</v>
      </c>
    </row>
    <row r="128" spans="1:12" ht="12.75">
      <c r="A128" s="127">
        <f t="shared" si="3"/>
        <v>44126</v>
      </c>
      <c r="B128" s="45">
        <v>0</v>
      </c>
      <c r="D128" s="45">
        <v>0</v>
      </c>
      <c r="F128" s="45">
        <v>0</v>
      </c>
      <c r="H128" s="45">
        <v>0</v>
      </c>
      <c r="J128" s="45">
        <v>0</v>
      </c>
      <c r="L128" s="45">
        <v>0</v>
      </c>
    </row>
    <row r="129" spans="1:12" ht="12.75">
      <c r="A129" s="127">
        <f t="shared" si="3"/>
        <v>44157</v>
      </c>
      <c r="B129" s="45">
        <v>0</v>
      </c>
      <c r="D129" s="45">
        <v>0</v>
      </c>
      <c r="F129" s="45">
        <v>0</v>
      </c>
      <c r="H129" s="45">
        <v>0</v>
      </c>
      <c r="J129" s="45">
        <v>0</v>
      </c>
      <c r="L129" s="45">
        <v>0</v>
      </c>
    </row>
    <row r="130" spans="1:12" ht="12.75">
      <c r="A130" s="127">
        <f t="shared" si="3"/>
        <v>44187</v>
      </c>
      <c r="B130" s="45">
        <v>0</v>
      </c>
      <c r="D130" s="45">
        <v>0</v>
      </c>
      <c r="F130" s="45">
        <v>0</v>
      </c>
      <c r="H130" s="45">
        <v>0</v>
      </c>
      <c r="J130" s="45">
        <v>0</v>
      </c>
      <c r="L130" s="45">
        <v>0</v>
      </c>
    </row>
    <row r="131" spans="1:12" ht="12.75">
      <c r="A131" s="127">
        <f t="shared" si="3"/>
        <v>44218</v>
      </c>
      <c r="B131" s="45">
        <v>0</v>
      </c>
      <c r="D131" s="45">
        <v>0</v>
      </c>
      <c r="F131" s="45">
        <v>0</v>
      </c>
      <c r="H131" s="45">
        <v>0</v>
      </c>
      <c r="J131" s="45">
        <v>0</v>
      </c>
      <c r="L131" s="45">
        <v>0</v>
      </c>
    </row>
    <row r="132" spans="1:12" ht="12.75">
      <c r="A132" s="127">
        <f aca="true" t="shared" si="4" ref="A132:A163">+_XLL.FECHA.MES(A131,1)</f>
        <v>44249</v>
      </c>
      <c r="B132" s="45">
        <v>0</v>
      </c>
      <c r="D132" s="45">
        <v>0</v>
      </c>
      <c r="F132" s="45">
        <v>0</v>
      </c>
      <c r="H132" s="45">
        <v>0</v>
      </c>
      <c r="J132" s="45">
        <v>0</v>
      </c>
      <c r="L132" s="45">
        <v>0</v>
      </c>
    </row>
    <row r="133" spans="1:12" ht="12.75">
      <c r="A133" s="127">
        <f t="shared" si="4"/>
        <v>44277</v>
      </c>
      <c r="B133" s="45">
        <v>0</v>
      </c>
      <c r="D133" s="45">
        <v>0</v>
      </c>
      <c r="F133" s="45">
        <v>0</v>
      </c>
      <c r="H133" s="45">
        <v>0</v>
      </c>
      <c r="J133" s="45">
        <v>0</v>
      </c>
      <c r="L133" s="45">
        <v>0</v>
      </c>
    </row>
    <row r="134" spans="1:12" ht="12.75">
      <c r="A134" s="127">
        <f t="shared" si="4"/>
        <v>44308</v>
      </c>
      <c r="B134" s="45">
        <v>0</v>
      </c>
      <c r="D134" s="45">
        <v>0</v>
      </c>
      <c r="F134" s="45">
        <v>0</v>
      </c>
      <c r="H134" s="45">
        <v>0</v>
      </c>
      <c r="J134" s="45">
        <v>0</v>
      </c>
      <c r="L134" s="45">
        <v>0</v>
      </c>
    </row>
    <row r="135" spans="1:12" ht="12.75">
      <c r="A135" s="127">
        <f t="shared" si="4"/>
        <v>44338</v>
      </c>
      <c r="B135" s="45">
        <v>0</v>
      </c>
      <c r="D135" s="45">
        <v>0</v>
      </c>
      <c r="F135" s="45">
        <v>0</v>
      </c>
      <c r="H135" s="45">
        <v>0</v>
      </c>
      <c r="J135" s="45">
        <v>0</v>
      </c>
      <c r="L135" s="45">
        <v>0</v>
      </c>
    </row>
    <row r="136" spans="1:12" ht="12.75">
      <c r="A136" s="127">
        <f t="shared" si="4"/>
        <v>44369</v>
      </c>
      <c r="B136" s="45">
        <v>0</v>
      </c>
      <c r="D136" s="45">
        <v>0</v>
      </c>
      <c r="F136" s="45">
        <v>0</v>
      </c>
      <c r="H136" s="45">
        <v>0</v>
      </c>
      <c r="J136" s="45">
        <v>0</v>
      </c>
      <c r="L136" s="45">
        <v>0</v>
      </c>
    </row>
    <row r="137" spans="1:12" ht="12.75">
      <c r="A137" s="127">
        <f t="shared" si="4"/>
        <v>44399</v>
      </c>
      <c r="B137" s="45">
        <v>0</v>
      </c>
      <c r="D137" s="45">
        <v>0</v>
      </c>
      <c r="F137" s="45">
        <v>0</v>
      </c>
      <c r="H137" s="45">
        <v>0</v>
      </c>
      <c r="J137" s="45">
        <v>0</v>
      </c>
      <c r="L137" s="45">
        <v>0</v>
      </c>
    </row>
    <row r="138" spans="1:12" ht="12.75">
      <c r="A138" s="127">
        <f t="shared" si="4"/>
        <v>44430</v>
      </c>
      <c r="B138" s="45">
        <v>0</v>
      </c>
      <c r="D138" s="45">
        <v>0</v>
      </c>
      <c r="F138" s="45">
        <v>0</v>
      </c>
      <c r="H138" s="45">
        <v>0</v>
      </c>
      <c r="J138" s="45">
        <v>0</v>
      </c>
      <c r="L138" s="45">
        <v>0</v>
      </c>
    </row>
    <row r="139" spans="1:12" ht="12.75">
      <c r="A139" s="127">
        <f t="shared" si="4"/>
        <v>44461</v>
      </c>
      <c r="B139" s="45">
        <v>0</v>
      </c>
      <c r="D139" s="45">
        <v>0</v>
      </c>
      <c r="F139" s="45">
        <v>0</v>
      </c>
      <c r="H139" s="45">
        <v>0</v>
      </c>
      <c r="J139" s="45">
        <v>0</v>
      </c>
      <c r="L139" s="45">
        <v>0</v>
      </c>
    </row>
    <row r="140" spans="1:12" ht="12.75">
      <c r="A140" s="127">
        <f t="shared" si="4"/>
        <v>44491</v>
      </c>
      <c r="B140" s="45">
        <v>0</v>
      </c>
      <c r="D140" s="45">
        <v>0</v>
      </c>
      <c r="F140" s="45">
        <v>0</v>
      </c>
      <c r="H140" s="45">
        <v>0</v>
      </c>
      <c r="J140" s="45">
        <v>0</v>
      </c>
      <c r="L140" s="45">
        <v>0</v>
      </c>
    </row>
    <row r="141" spans="1:12" ht="12.75">
      <c r="A141" s="127">
        <f t="shared" si="4"/>
        <v>44522</v>
      </c>
      <c r="B141" s="45">
        <v>0</v>
      </c>
      <c r="D141" s="45">
        <v>0</v>
      </c>
      <c r="F141" s="45">
        <v>0</v>
      </c>
      <c r="H141" s="45">
        <v>0</v>
      </c>
      <c r="J141" s="45">
        <v>0</v>
      </c>
      <c r="L141" s="45">
        <v>0</v>
      </c>
    </row>
    <row r="142" spans="1:12" ht="12.75">
      <c r="A142" s="127">
        <f t="shared" si="4"/>
        <v>44552</v>
      </c>
      <c r="B142" s="45">
        <v>0</v>
      </c>
      <c r="D142" s="45">
        <v>0</v>
      </c>
      <c r="F142" s="45">
        <v>0</v>
      </c>
      <c r="H142" s="45">
        <v>0</v>
      </c>
      <c r="J142" s="45">
        <v>0</v>
      </c>
      <c r="L142" s="45">
        <v>0</v>
      </c>
    </row>
    <row r="143" spans="1:12" ht="12.75">
      <c r="A143" s="127">
        <f t="shared" si="4"/>
        <v>44583</v>
      </c>
      <c r="B143" s="45">
        <v>0</v>
      </c>
      <c r="D143" s="45">
        <v>0</v>
      </c>
      <c r="F143" s="45">
        <v>0</v>
      </c>
      <c r="H143" s="45">
        <v>0</v>
      </c>
      <c r="J143" s="45">
        <v>0</v>
      </c>
      <c r="L143" s="45">
        <v>0</v>
      </c>
    </row>
    <row r="144" spans="1:12" ht="12.75">
      <c r="A144" s="127">
        <f t="shared" si="4"/>
        <v>44614</v>
      </c>
      <c r="B144" s="45">
        <v>0</v>
      </c>
      <c r="D144" s="45">
        <v>0</v>
      </c>
      <c r="F144" s="45">
        <v>0</v>
      </c>
      <c r="H144" s="45">
        <v>0</v>
      </c>
      <c r="J144" s="45">
        <v>0</v>
      </c>
      <c r="L144" s="45">
        <v>0</v>
      </c>
    </row>
    <row r="145" spans="1:12" ht="12.75">
      <c r="A145" s="127">
        <f t="shared" si="4"/>
        <v>44642</v>
      </c>
      <c r="B145" s="45">
        <v>0</v>
      </c>
      <c r="D145" s="45">
        <v>0</v>
      </c>
      <c r="F145" s="45">
        <v>0</v>
      </c>
      <c r="H145" s="45">
        <v>0</v>
      </c>
      <c r="J145" s="45">
        <v>0</v>
      </c>
      <c r="L145" s="45">
        <v>0</v>
      </c>
    </row>
    <row r="146" spans="1:12" ht="12.75">
      <c r="A146" s="127">
        <f t="shared" si="4"/>
        <v>44673</v>
      </c>
      <c r="B146" s="45">
        <v>0</v>
      </c>
      <c r="D146" s="45">
        <v>0</v>
      </c>
      <c r="F146" s="45">
        <v>0</v>
      </c>
      <c r="H146" s="45">
        <v>0</v>
      </c>
      <c r="J146" s="45">
        <v>0</v>
      </c>
      <c r="L146" s="45">
        <v>0</v>
      </c>
    </row>
    <row r="147" spans="1:12" ht="12.75">
      <c r="A147" s="127">
        <f t="shared" si="4"/>
        <v>44703</v>
      </c>
      <c r="B147" s="45">
        <v>0</v>
      </c>
      <c r="D147" s="45">
        <v>0</v>
      </c>
      <c r="F147" s="45">
        <v>0</v>
      </c>
      <c r="H147" s="45">
        <v>0</v>
      </c>
      <c r="J147" s="45">
        <v>0</v>
      </c>
      <c r="L147" s="45">
        <v>0</v>
      </c>
    </row>
    <row r="148" spans="1:12" ht="12.75">
      <c r="A148" s="127">
        <f t="shared" si="4"/>
        <v>44734</v>
      </c>
      <c r="B148" s="45">
        <v>0</v>
      </c>
      <c r="D148" s="45">
        <v>0</v>
      </c>
      <c r="F148" s="45">
        <v>0</v>
      </c>
      <c r="H148" s="45">
        <v>0</v>
      </c>
      <c r="J148" s="45">
        <v>0</v>
      </c>
      <c r="L148" s="45">
        <v>0</v>
      </c>
    </row>
    <row r="149" spans="1:12" ht="12.75">
      <c r="A149" s="127">
        <f t="shared" si="4"/>
        <v>44764</v>
      </c>
      <c r="B149" s="45">
        <v>0</v>
      </c>
      <c r="D149" s="45">
        <v>0</v>
      </c>
      <c r="F149" s="45">
        <v>0</v>
      </c>
      <c r="H149" s="45">
        <v>0</v>
      </c>
      <c r="J149" s="45">
        <v>0</v>
      </c>
      <c r="L149" s="45">
        <v>0</v>
      </c>
    </row>
    <row r="150" spans="1:12" ht="12.75">
      <c r="A150" s="127">
        <f t="shared" si="4"/>
        <v>44795</v>
      </c>
      <c r="B150" s="45">
        <v>0</v>
      </c>
      <c r="D150" s="45">
        <v>0</v>
      </c>
      <c r="F150" s="45">
        <v>0</v>
      </c>
      <c r="H150" s="45">
        <v>0</v>
      </c>
      <c r="J150" s="45">
        <v>0</v>
      </c>
      <c r="L150" s="45">
        <v>0</v>
      </c>
    </row>
    <row r="151" spans="1:12" ht="12.75">
      <c r="A151" s="127">
        <f t="shared" si="4"/>
        <v>44826</v>
      </c>
      <c r="B151" s="45">
        <v>0</v>
      </c>
      <c r="D151" s="45">
        <v>0</v>
      </c>
      <c r="F151" s="45">
        <v>0</v>
      </c>
      <c r="H151" s="45">
        <v>0</v>
      </c>
      <c r="J151" s="45">
        <v>0</v>
      </c>
      <c r="L151" s="45">
        <v>0</v>
      </c>
    </row>
    <row r="152" spans="1:12" ht="12.75">
      <c r="A152" s="127">
        <f t="shared" si="4"/>
        <v>44856</v>
      </c>
      <c r="B152" s="45">
        <v>0</v>
      </c>
      <c r="D152" s="45">
        <v>0</v>
      </c>
      <c r="F152" s="45">
        <v>0</v>
      </c>
      <c r="H152" s="45">
        <v>0</v>
      </c>
      <c r="J152" s="45">
        <v>0</v>
      </c>
      <c r="L152" s="45">
        <v>0</v>
      </c>
    </row>
    <row r="153" spans="1:12" ht="12.75">
      <c r="A153" s="127">
        <f t="shared" si="4"/>
        <v>44887</v>
      </c>
      <c r="B153" s="45">
        <v>0</v>
      </c>
      <c r="D153" s="45">
        <v>0</v>
      </c>
      <c r="F153" s="45">
        <v>0</v>
      </c>
      <c r="H153" s="45">
        <v>0</v>
      </c>
      <c r="J153" s="45">
        <v>0</v>
      </c>
      <c r="L153" s="45">
        <v>0</v>
      </c>
    </row>
    <row r="154" spans="1:12" ht="12.75">
      <c r="A154" s="127">
        <f t="shared" si="4"/>
        <v>44917</v>
      </c>
      <c r="B154" s="45">
        <v>0</v>
      </c>
      <c r="D154" s="45">
        <v>0</v>
      </c>
      <c r="F154" s="45">
        <v>0</v>
      </c>
      <c r="H154" s="45">
        <v>0</v>
      </c>
      <c r="J154" s="45">
        <v>0</v>
      </c>
      <c r="L154" s="45">
        <v>0</v>
      </c>
    </row>
    <row r="155" spans="1:12" ht="12.75">
      <c r="A155" s="127">
        <f t="shared" si="4"/>
        <v>44948</v>
      </c>
      <c r="B155" s="45">
        <v>0</v>
      </c>
      <c r="D155" s="45">
        <v>0</v>
      </c>
      <c r="F155" s="45">
        <v>0</v>
      </c>
      <c r="H155" s="45">
        <v>0</v>
      </c>
      <c r="J155" s="45">
        <v>0</v>
      </c>
      <c r="L155" s="45">
        <v>0</v>
      </c>
    </row>
    <row r="156" spans="1:12" ht="12.75">
      <c r="A156" s="127">
        <f t="shared" si="4"/>
        <v>44979</v>
      </c>
      <c r="B156" s="45">
        <v>0</v>
      </c>
      <c r="D156" s="45">
        <v>0</v>
      </c>
      <c r="F156" s="45">
        <v>0</v>
      </c>
      <c r="H156" s="45">
        <v>0</v>
      </c>
      <c r="J156" s="45">
        <v>0</v>
      </c>
      <c r="L156" s="45">
        <v>0</v>
      </c>
    </row>
    <row r="157" spans="1:12" ht="12.75">
      <c r="A157" s="127">
        <f t="shared" si="4"/>
        <v>45007</v>
      </c>
      <c r="B157" s="45">
        <v>0</v>
      </c>
      <c r="D157" s="45">
        <v>0</v>
      </c>
      <c r="F157" s="45">
        <v>0</v>
      </c>
      <c r="H157" s="45">
        <v>0</v>
      </c>
      <c r="J157" s="45">
        <v>0</v>
      </c>
      <c r="L157" s="45">
        <v>0</v>
      </c>
    </row>
    <row r="158" spans="1:12" ht="12.75">
      <c r="A158" s="127">
        <f t="shared" si="4"/>
        <v>45038</v>
      </c>
      <c r="B158" s="45">
        <v>0</v>
      </c>
      <c r="D158" s="45">
        <v>0</v>
      </c>
      <c r="F158" s="45">
        <v>0</v>
      </c>
      <c r="H158" s="45">
        <v>0</v>
      </c>
      <c r="J158" s="45">
        <v>0</v>
      </c>
      <c r="L158" s="45">
        <v>0</v>
      </c>
    </row>
    <row r="159" spans="1:12" ht="12.75">
      <c r="A159" s="127">
        <f t="shared" si="4"/>
        <v>45068</v>
      </c>
      <c r="B159" s="45">
        <v>0</v>
      </c>
      <c r="D159" s="45">
        <v>0</v>
      </c>
      <c r="F159" s="45">
        <v>0</v>
      </c>
      <c r="H159" s="45">
        <v>0</v>
      </c>
      <c r="J159" s="45">
        <v>0</v>
      </c>
      <c r="L159" s="45">
        <v>0</v>
      </c>
    </row>
    <row r="160" spans="1:12" ht="12.75">
      <c r="A160" s="127">
        <f t="shared" si="4"/>
        <v>45099</v>
      </c>
      <c r="B160" s="45">
        <v>0</v>
      </c>
      <c r="D160" s="45">
        <v>0</v>
      </c>
      <c r="F160" s="45">
        <v>0</v>
      </c>
      <c r="H160" s="45">
        <v>0</v>
      </c>
      <c r="J160" s="45">
        <v>0</v>
      </c>
      <c r="L160" s="45">
        <v>0</v>
      </c>
    </row>
    <row r="161" spans="1:12" ht="12.75">
      <c r="A161" s="127">
        <f t="shared" si="4"/>
        <v>45129</v>
      </c>
      <c r="B161" s="45">
        <v>0</v>
      </c>
      <c r="D161" s="45">
        <v>0</v>
      </c>
      <c r="F161" s="45">
        <v>0</v>
      </c>
      <c r="H161" s="45">
        <v>0</v>
      </c>
      <c r="J161" s="45">
        <v>0</v>
      </c>
      <c r="L161" s="45">
        <v>0</v>
      </c>
    </row>
    <row r="162" spans="1:12" ht="12.75">
      <c r="A162" s="127">
        <f t="shared" si="4"/>
        <v>45160</v>
      </c>
      <c r="B162" s="45">
        <v>0</v>
      </c>
      <c r="D162" s="45">
        <v>0</v>
      </c>
      <c r="F162" s="45">
        <v>0</v>
      </c>
      <c r="H162" s="45">
        <v>0</v>
      </c>
      <c r="J162" s="45">
        <v>0</v>
      </c>
      <c r="L162" s="45">
        <v>0</v>
      </c>
    </row>
    <row r="163" spans="1:12" ht="12.75">
      <c r="A163" s="127">
        <f t="shared" si="4"/>
        <v>45191</v>
      </c>
      <c r="B163" s="45">
        <v>0</v>
      </c>
      <c r="D163" s="45">
        <v>0</v>
      </c>
      <c r="F163" s="45">
        <v>0</v>
      </c>
      <c r="H163" s="45">
        <v>0</v>
      </c>
      <c r="J163" s="45">
        <v>0</v>
      </c>
      <c r="L163" s="45">
        <v>0</v>
      </c>
    </row>
    <row r="164" spans="1:12" ht="12.75">
      <c r="A164" s="127">
        <f aca="true" t="shared" si="5" ref="A164:A182">+_XLL.FECHA.MES(A163,1)</f>
        <v>45221</v>
      </c>
      <c r="B164" s="45">
        <v>0</v>
      </c>
      <c r="D164" s="45">
        <v>0</v>
      </c>
      <c r="F164" s="45">
        <v>0</v>
      </c>
      <c r="H164" s="45">
        <v>0</v>
      </c>
      <c r="J164" s="45">
        <v>0</v>
      </c>
      <c r="L164" s="45">
        <v>0</v>
      </c>
    </row>
    <row r="165" spans="1:12" ht="12.75">
      <c r="A165" s="127">
        <f t="shared" si="5"/>
        <v>45252</v>
      </c>
      <c r="B165" s="45">
        <v>0</v>
      </c>
      <c r="D165" s="45">
        <v>0</v>
      </c>
      <c r="F165" s="45">
        <v>0</v>
      </c>
      <c r="H165" s="45">
        <v>0</v>
      </c>
      <c r="J165" s="45">
        <v>0</v>
      </c>
      <c r="L165" s="45">
        <v>0</v>
      </c>
    </row>
    <row r="166" spans="1:12" ht="12.75">
      <c r="A166" s="127">
        <f t="shared" si="5"/>
        <v>45282</v>
      </c>
      <c r="B166" s="45">
        <v>0</v>
      </c>
      <c r="D166" s="45">
        <v>0</v>
      </c>
      <c r="F166" s="45">
        <v>0</v>
      </c>
      <c r="H166" s="45">
        <v>0</v>
      </c>
      <c r="J166" s="45">
        <v>0</v>
      </c>
      <c r="L166" s="45">
        <v>0</v>
      </c>
    </row>
    <row r="167" spans="1:12" ht="12.75">
      <c r="A167" s="127">
        <f t="shared" si="5"/>
        <v>45313</v>
      </c>
      <c r="B167" s="45">
        <v>0</v>
      </c>
      <c r="D167" s="45">
        <v>0</v>
      </c>
      <c r="F167" s="45">
        <v>0</v>
      </c>
      <c r="H167" s="45">
        <v>0</v>
      </c>
      <c r="J167" s="45">
        <v>0</v>
      </c>
      <c r="L167" s="45">
        <v>0</v>
      </c>
    </row>
    <row r="168" spans="1:12" ht="12.75">
      <c r="A168" s="127">
        <f t="shared" si="5"/>
        <v>45344</v>
      </c>
      <c r="B168" s="45">
        <v>0</v>
      </c>
      <c r="D168" s="45">
        <v>0</v>
      </c>
      <c r="F168" s="45">
        <v>0</v>
      </c>
      <c r="H168" s="45">
        <v>0</v>
      </c>
      <c r="J168" s="45">
        <v>0</v>
      </c>
      <c r="L168" s="45">
        <v>0</v>
      </c>
    </row>
    <row r="169" spans="1:12" ht="12.75">
      <c r="A169" s="127">
        <f t="shared" si="5"/>
        <v>45373</v>
      </c>
      <c r="B169" s="45">
        <v>0</v>
      </c>
      <c r="D169" s="45">
        <v>0</v>
      </c>
      <c r="F169" s="45">
        <v>0</v>
      </c>
      <c r="H169" s="45">
        <v>0</v>
      </c>
      <c r="J169" s="45">
        <v>0</v>
      </c>
      <c r="L169" s="45">
        <v>0</v>
      </c>
    </row>
    <row r="170" spans="1:12" ht="12.75">
      <c r="A170" s="127">
        <f t="shared" si="5"/>
        <v>45404</v>
      </c>
      <c r="B170" s="45">
        <v>0</v>
      </c>
      <c r="D170" s="45">
        <v>0</v>
      </c>
      <c r="F170" s="45">
        <v>0</v>
      </c>
      <c r="H170" s="45">
        <v>0</v>
      </c>
      <c r="J170" s="45">
        <v>0</v>
      </c>
      <c r="L170" s="45">
        <v>0</v>
      </c>
    </row>
    <row r="171" spans="1:12" ht="12.75">
      <c r="A171" s="127">
        <f t="shared" si="5"/>
        <v>45434</v>
      </c>
      <c r="B171" s="45">
        <v>0</v>
      </c>
      <c r="D171" s="45">
        <v>0</v>
      </c>
      <c r="F171" s="45">
        <v>0</v>
      </c>
      <c r="H171" s="45">
        <v>0</v>
      </c>
      <c r="J171" s="45">
        <v>0</v>
      </c>
      <c r="L171" s="45">
        <v>0</v>
      </c>
    </row>
    <row r="172" spans="1:12" ht="12.75">
      <c r="A172" s="127">
        <f t="shared" si="5"/>
        <v>45465</v>
      </c>
      <c r="B172" s="45">
        <v>0</v>
      </c>
      <c r="D172" s="45">
        <v>0</v>
      </c>
      <c r="F172" s="45">
        <v>0</v>
      </c>
      <c r="H172" s="45">
        <v>0</v>
      </c>
      <c r="J172" s="45">
        <v>0</v>
      </c>
      <c r="L172" s="45">
        <v>0</v>
      </c>
    </row>
    <row r="173" spans="1:12" ht="12.75">
      <c r="A173" s="127">
        <f t="shared" si="5"/>
        <v>45495</v>
      </c>
      <c r="B173" s="45">
        <v>0</v>
      </c>
      <c r="D173" s="45">
        <v>0</v>
      </c>
      <c r="F173" s="45">
        <v>0</v>
      </c>
      <c r="H173" s="45">
        <v>0</v>
      </c>
      <c r="J173" s="45">
        <v>0</v>
      </c>
      <c r="L173" s="45">
        <v>0</v>
      </c>
    </row>
    <row r="174" spans="1:12" ht="12.75">
      <c r="A174" s="127">
        <f t="shared" si="5"/>
        <v>45526</v>
      </c>
      <c r="B174" s="45">
        <v>0</v>
      </c>
      <c r="D174" s="45">
        <v>0</v>
      </c>
      <c r="F174" s="45">
        <v>0</v>
      </c>
      <c r="H174" s="45">
        <v>0</v>
      </c>
      <c r="J174" s="45">
        <v>0</v>
      </c>
      <c r="L174" s="45">
        <v>0</v>
      </c>
    </row>
    <row r="175" spans="1:12" ht="12.75">
      <c r="A175" s="127">
        <f t="shared" si="5"/>
        <v>45557</v>
      </c>
      <c r="B175" s="45">
        <v>0</v>
      </c>
      <c r="D175" s="45">
        <v>0</v>
      </c>
      <c r="F175" s="45">
        <v>0</v>
      </c>
      <c r="H175" s="45">
        <v>0</v>
      </c>
      <c r="J175" s="45">
        <v>0</v>
      </c>
      <c r="L175" s="45">
        <v>0</v>
      </c>
    </row>
    <row r="176" spans="1:12" ht="12.75">
      <c r="A176" s="127">
        <f t="shared" si="5"/>
        <v>45587</v>
      </c>
      <c r="B176" s="45">
        <v>0</v>
      </c>
      <c r="D176" s="45">
        <v>0</v>
      </c>
      <c r="F176" s="45">
        <v>0</v>
      </c>
      <c r="H176" s="45">
        <v>0</v>
      </c>
      <c r="J176" s="45">
        <v>0</v>
      </c>
      <c r="L176" s="45">
        <v>0</v>
      </c>
    </row>
    <row r="177" spans="1:12" ht="12.75">
      <c r="A177" s="127">
        <f t="shared" si="5"/>
        <v>45618</v>
      </c>
      <c r="B177" s="45">
        <v>0</v>
      </c>
      <c r="D177" s="45">
        <v>0</v>
      </c>
      <c r="F177" s="45">
        <v>0</v>
      </c>
      <c r="H177" s="45">
        <v>0</v>
      </c>
      <c r="J177" s="45">
        <v>0</v>
      </c>
      <c r="L177" s="45">
        <v>0</v>
      </c>
    </row>
    <row r="178" spans="1:12" ht="12.75">
      <c r="A178" s="127">
        <f t="shared" si="5"/>
        <v>45648</v>
      </c>
      <c r="B178" s="45">
        <v>0</v>
      </c>
      <c r="D178" s="45">
        <v>0</v>
      </c>
      <c r="F178" s="45">
        <v>0</v>
      </c>
      <c r="H178" s="45">
        <v>0</v>
      </c>
      <c r="J178" s="45">
        <v>0</v>
      </c>
      <c r="L178" s="45">
        <v>0</v>
      </c>
    </row>
    <row r="179" spans="1:12" ht="12.75">
      <c r="A179" s="127">
        <f t="shared" si="5"/>
        <v>45679</v>
      </c>
      <c r="B179" s="45">
        <v>0</v>
      </c>
      <c r="D179" s="45">
        <v>0</v>
      </c>
      <c r="F179" s="45">
        <v>0</v>
      </c>
      <c r="H179" s="45">
        <v>0</v>
      </c>
      <c r="J179" s="45">
        <v>0</v>
      </c>
      <c r="L179" s="45">
        <v>0</v>
      </c>
    </row>
    <row r="180" spans="1:12" ht="12.75">
      <c r="A180" s="127">
        <f t="shared" si="5"/>
        <v>45710</v>
      </c>
      <c r="B180" s="45">
        <v>0</v>
      </c>
      <c r="D180" s="45">
        <v>0</v>
      </c>
      <c r="F180" s="45">
        <v>0</v>
      </c>
      <c r="H180" s="45">
        <v>0</v>
      </c>
      <c r="J180" s="45">
        <v>0</v>
      </c>
      <c r="L180" s="45">
        <v>0</v>
      </c>
    </row>
    <row r="181" spans="1:12" ht="12.75">
      <c r="A181" s="127">
        <f t="shared" si="5"/>
        <v>45738</v>
      </c>
      <c r="B181" s="45">
        <v>0</v>
      </c>
      <c r="D181" s="45">
        <v>0</v>
      </c>
      <c r="F181" s="45">
        <v>0</v>
      </c>
      <c r="H181" s="45">
        <v>0</v>
      </c>
      <c r="J181" s="45">
        <v>0</v>
      </c>
      <c r="L181" s="45">
        <v>0</v>
      </c>
    </row>
    <row r="182" spans="1:12" ht="13.5" thickBot="1">
      <c r="A182" s="129">
        <f t="shared" si="5"/>
        <v>45769</v>
      </c>
      <c r="B182" s="155">
        <v>0</v>
      </c>
      <c r="D182" s="153">
        <v>0</v>
      </c>
      <c r="E182" s="169"/>
      <c r="F182" s="153">
        <v>0</v>
      </c>
      <c r="G182" s="169"/>
      <c r="H182" s="153">
        <v>0</v>
      </c>
      <c r="I182" s="169"/>
      <c r="J182" s="153">
        <v>0</v>
      </c>
      <c r="K182" s="169"/>
      <c r="L182" s="153">
        <v>0</v>
      </c>
    </row>
    <row r="183" spans="1:13" s="46" customFormat="1" ht="15.75" customHeight="1">
      <c r="A183" s="65"/>
      <c r="B183" s="46">
        <f>SUM(B3:B182)</f>
        <v>0.9999999999999997</v>
      </c>
      <c r="C183" s="65"/>
      <c r="D183" s="46">
        <f>SUM(D3:D182)</f>
        <v>0.9999999999999997</v>
      </c>
      <c r="E183" s="65"/>
      <c r="F183" s="46">
        <f>SUM(F3:F182)</f>
        <v>0.9999999999999997</v>
      </c>
      <c r="G183" s="65"/>
      <c r="H183" s="46">
        <f>SUM(H3:H182)</f>
        <v>0.9999999999999997</v>
      </c>
      <c r="I183" s="65"/>
      <c r="J183" s="46">
        <f>SUM(J3:J182)</f>
        <v>0.9999999999999997</v>
      </c>
      <c r="K183" s="65"/>
      <c r="L183" s="46">
        <f>SUM(L3:L182)</f>
        <v>0.9999999999999997</v>
      </c>
      <c r="M183" s="65"/>
    </row>
    <row r="184" spans="2:12" ht="12.75">
      <c r="B184" s="46">
        <f>1-B183</f>
        <v>0</v>
      </c>
      <c r="D184" s="46">
        <f>1-D183</f>
        <v>0</v>
      </c>
      <c r="F184" s="46">
        <f>1-F183</f>
        <v>0</v>
      </c>
      <c r="H184" s="46">
        <f>1-H183</f>
        <v>0</v>
      </c>
      <c r="J184" s="46">
        <f>1-J183</f>
        <v>0</v>
      </c>
      <c r="L184" s="46">
        <f>1-L183</f>
        <v>0</v>
      </c>
    </row>
    <row r="185" spans="2:12" ht="12.75">
      <c r="B185" s="46"/>
      <c r="D185" s="46"/>
      <c r="F185" s="46"/>
      <c r="H185" s="46"/>
      <c r="J185" s="46"/>
      <c r="L185" s="46"/>
    </row>
  </sheetData>
  <sheetProtection/>
  <mergeCells count="1">
    <mergeCell ref="A1:A2"/>
  </mergeCells>
  <conditionalFormatting sqref="L183 J183 H183 F183 D183 B183">
    <cfRule type="cellIs" priority="1" dxfId="0" operator="notEqual" stopIfTrue="1">
      <formula>1</formula>
    </cfRule>
  </conditionalFormatting>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6"/>
  <dimension ref="A1:H16"/>
  <sheetViews>
    <sheetView zoomScalePageLayoutView="0" workbookViewId="0" topLeftCell="A1">
      <selection activeCell="D23" sqref="D23"/>
    </sheetView>
  </sheetViews>
  <sheetFormatPr defaultColWidth="11.421875" defaultRowHeight="12.75"/>
  <cols>
    <col min="1" max="16384" width="11.421875" style="132" customWidth="1"/>
  </cols>
  <sheetData>
    <row r="1" spans="1:8" ht="12.75">
      <c r="A1" s="186" t="s">
        <v>76</v>
      </c>
      <c r="B1" s="187"/>
      <c r="C1" s="187"/>
      <c r="D1" s="187"/>
      <c r="E1" s="187"/>
      <c r="F1" s="187"/>
      <c r="G1" s="187"/>
      <c r="H1" s="187"/>
    </row>
    <row r="2" spans="1:8" ht="12.75">
      <c r="A2" s="187"/>
      <c r="B2" s="187"/>
      <c r="C2" s="187"/>
      <c r="D2" s="187"/>
      <c r="E2" s="187"/>
      <c r="F2" s="187"/>
      <c r="G2" s="187"/>
      <c r="H2" s="187"/>
    </row>
    <row r="3" spans="1:8" ht="12.75">
      <c r="A3" s="187"/>
      <c r="B3" s="187"/>
      <c r="C3" s="187"/>
      <c r="D3" s="187"/>
      <c r="E3" s="187"/>
      <c r="F3" s="187"/>
      <c r="G3" s="187"/>
      <c r="H3" s="187"/>
    </row>
    <row r="4" spans="1:8" ht="12.75">
      <c r="A4" s="187"/>
      <c r="B4" s="187"/>
      <c r="C4" s="187"/>
      <c r="D4" s="187"/>
      <c r="E4" s="187"/>
      <c r="F4" s="187"/>
      <c r="G4" s="187"/>
      <c r="H4" s="187"/>
    </row>
    <row r="5" spans="1:8" ht="12.75">
      <c r="A5" s="187"/>
      <c r="B5" s="187"/>
      <c r="C5" s="187"/>
      <c r="D5" s="187"/>
      <c r="E5" s="187"/>
      <c r="F5" s="187"/>
      <c r="G5" s="187"/>
      <c r="H5" s="187"/>
    </row>
    <row r="6" spans="1:8" ht="12.75">
      <c r="A6" s="187"/>
      <c r="B6" s="187"/>
      <c r="C6" s="187"/>
      <c r="D6" s="187"/>
      <c r="E6" s="187"/>
      <c r="F6" s="187"/>
      <c r="G6" s="187"/>
      <c r="H6" s="187"/>
    </row>
    <row r="7" spans="1:8" ht="12.75">
      <c r="A7" s="187"/>
      <c r="B7" s="187"/>
      <c r="C7" s="187"/>
      <c r="D7" s="187"/>
      <c r="E7" s="187"/>
      <c r="F7" s="187"/>
      <c r="G7" s="187"/>
      <c r="H7" s="187"/>
    </row>
    <row r="8" spans="1:8" ht="12.75">
      <c r="A8" s="187"/>
      <c r="B8" s="187"/>
      <c r="C8" s="187"/>
      <c r="D8" s="187"/>
      <c r="E8" s="187"/>
      <c r="F8" s="187"/>
      <c r="G8" s="187"/>
      <c r="H8" s="187"/>
    </row>
    <row r="9" spans="1:8" ht="12.75">
      <c r="A9" s="187"/>
      <c r="B9" s="187"/>
      <c r="C9" s="187"/>
      <c r="D9" s="187"/>
      <c r="E9" s="187"/>
      <c r="F9" s="187"/>
      <c r="G9" s="187"/>
      <c r="H9" s="187"/>
    </row>
    <row r="10" spans="1:8" ht="12.75">
      <c r="A10" s="187"/>
      <c r="B10" s="187"/>
      <c r="C10" s="187"/>
      <c r="D10" s="187"/>
      <c r="E10" s="187"/>
      <c r="F10" s="187"/>
      <c r="G10" s="187"/>
      <c r="H10" s="187"/>
    </row>
    <row r="11" spans="1:8" ht="12.75">
      <c r="A11" s="187"/>
      <c r="B11" s="187"/>
      <c r="C11" s="187"/>
      <c r="D11" s="187"/>
      <c r="E11" s="187"/>
      <c r="F11" s="187"/>
      <c r="G11" s="187"/>
      <c r="H11" s="187"/>
    </row>
    <row r="12" spans="1:8" ht="12.75">
      <c r="A12" s="187"/>
      <c r="B12" s="187"/>
      <c r="C12" s="187"/>
      <c r="D12" s="187"/>
      <c r="E12" s="187"/>
      <c r="F12" s="187"/>
      <c r="G12" s="187"/>
      <c r="H12" s="187"/>
    </row>
    <row r="13" spans="1:8" ht="12.75">
      <c r="A13" s="187"/>
      <c r="B13" s="187"/>
      <c r="C13" s="187"/>
      <c r="D13" s="187"/>
      <c r="E13" s="187"/>
      <c r="F13" s="187"/>
      <c r="G13" s="187"/>
      <c r="H13" s="187"/>
    </row>
    <row r="14" spans="1:8" ht="12.75">
      <c r="A14" s="187"/>
      <c r="B14" s="187"/>
      <c r="C14" s="187"/>
      <c r="D14" s="187"/>
      <c r="E14" s="187"/>
      <c r="F14" s="187"/>
      <c r="G14" s="187"/>
      <c r="H14" s="187"/>
    </row>
    <row r="16" ht="12.75">
      <c r="A16" s="133" t="s">
        <v>78</v>
      </c>
    </row>
  </sheetData>
  <sheetProtection password="C579" sheet="1" objects="1" scenarios="1"/>
  <mergeCells count="1">
    <mergeCell ref="A1:H14"/>
  </mergeCells>
  <hyperlinks>
    <hyperlink ref="A16" location="'CALCULADORA TIPS Pesos E-12'!C2" display="Volver"/>
  </hyperlink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
      <selection activeCell="B121" sqref="B4:B121"/>
    </sheetView>
  </sheetViews>
  <sheetFormatPr defaultColWidth="11.421875" defaultRowHeight="12.75"/>
  <cols>
    <col min="1" max="1" width="10.140625" style="105" bestFit="1" customWidth="1"/>
    <col min="2" max="2" width="24.00390625" style="105" bestFit="1" customWidth="1"/>
    <col min="3" max="16384" width="11.421875" style="105" customWidth="1"/>
  </cols>
  <sheetData>
    <row r="1" spans="1:2" ht="13.5" thickBot="1">
      <c r="A1" s="124" t="s">
        <v>1</v>
      </c>
      <c r="B1" s="131" t="str">
        <f>+Características!$B$1</f>
        <v>TIPS Pesos E-14 A 2020</v>
      </c>
    </row>
    <row r="2" spans="1:2" ht="12.75">
      <c r="A2" s="125">
        <f>+'Tabla de Amortizacion'!A3</f>
        <v>40320</v>
      </c>
      <c r="B2" s="126">
        <f>IF('CALCULADORA TIPS Pesos E-14'!$F$10="Contractual",ROUND('Tabla de Amortizacion'!B3,8),IF('CALCULADORA TIPS Pesos E-14'!$F$10="6% (Medio)",ROUND('Tabla de Amortizacion'!D3,8),IF('CALCULADORA TIPS Pesos E-14'!$F$10="10% (Medio Alto)",ROUND('Tabla de Amortizacion'!F3,8),IF('CALCULADORA TIPS Pesos E-14'!$F$10="14% (Alto)",ROUND('Tabla de Amortizacion'!H3,8),IF('CALCULADORA TIPS Pesos E-14'!$F$10=20%,ROUND('Tabla de Amortizacion'!J3,8),ROUND('Tabla de Amortizacion'!L3,8))))))</f>
        <v>0.02273983</v>
      </c>
    </row>
    <row r="3" spans="1:2" ht="12.75">
      <c r="A3" s="127">
        <f aca="true" t="shared" si="0" ref="A3:A34">_XLL.FECHA.MES(A2,1)</f>
        <v>40351</v>
      </c>
      <c r="B3" s="128">
        <f>IF('CALCULADORA TIPS Pesos E-14'!$F$10="Contractual",ROUND('Tabla de Amortizacion'!B4,8),IF('CALCULADORA TIPS Pesos E-14'!$F$10="6% (Medio)",ROUND('Tabla de Amortizacion'!D4,8),IF('CALCULADORA TIPS Pesos E-14'!$F$10="10% (Medio Alto)",ROUND('Tabla de Amortizacion'!F4,8),IF('CALCULADORA TIPS Pesos E-14'!$F$10="14% (Alto)",ROUND('Tabla de Amortizacion'!H4,8),IF('CALCULADORA TIPS Pesos E-14'!$F$10=20%,ROUND('Tabla de Amortizacion'!J4,8),ROUND('Tabla de Amortizacion'!L4,8))))))</f>
        <v>0.01647674</v>
      </c>
    </row>
    <row r="4" spans="1:2" ht="12.75">
      <c r="A4" s="127">
        <f t="shared" si="0"/>
        <v>40381</v>
      </c>
      <c r="B4" s="128">
        <f>IF('CALCULADORA TIPS Pesos E-14'!$F$10="Contractual",ROUND('Tabla de Amortizacion'!B5,8),IF('CALCULADORA TIPS Pesos E-14'!$F$10="6% (Medio)",ROUND('Tabla de Amortizacion'!D5,8),IF('CALCULADORA TIPS Pesos E-14'!$F$10="10% (Medio Alto)",ROUND('Tabla de Amortizacion'!F5,8),IF('CALCULADORA TIPS Pesos E-14'!$F$10="14% (Alto)",ROUND('Tabla de Amortizacion'!H5,8),IF('CALCULADORA TIPS Pesos E-14'!$F$10=20%,ROUND('Tabla de Amortizacion'!J5,8),ROUND('Tabla de Amortizacion'!L5,8))))))</f>
        <v>0.03118638</v>
      </c>
    </row>
    <row r="5" spans="1:2" ht="12.75">
      <c r="A5" s="127">
        <f t="shared" si="0"/>
        <v>40412</v>
      </c>
      <c r="B5" s="128">
        <f>IF('CALCULADORA TIPS Pesos E-14'!$F$10="Contractual",ROUND('Tabla de Amortizacion'!B6,8),IF('CALCULADORA TIPS Pesos E-14'!$F$10="6% (Medio)",ROUND('Tabla de Amortizacion'!D6,8),IF('CALCULADORA TIPS Pesos E-14'!$F$10="10% (Medio Alto)",ROUND('Tabla de Amortizacion'!F6,8),IF('CALCULADORA TIPS Pesos E-14'!$F$10="14% (Alto)",ROUND('Tabla de Amortizacion'!H6,8),IF('CALCULADORA TIPS Pesos E-14'!$F$10=20%,ROUND('Tabla de Amortizacion'!J6,8),ROUND('Tabla de Amortizacion'!L6,8))))))</f>
        <v>0.02786144</v>
      </c>
    </row>
    <row r="6" spans="1:2" ht="12.75">
      <c r="A6" s="127">
        <f t="shared" si="0"/>
        <v>40443</v>
      </c>
      <c r="B6" s="128">
        <f>IF('CALCULADORA TIPS Pesos E-14'!$F$10="Contractual",ROUND('Tabla de Amortizacion'!B7,8),IF('CALCULADORA TIPS Pesos E-14'!$F$10="6% (Medio)",ROUND('Tabla de Amortizacion'!D7,8),IF('CALCULADORA TIPS Pesos E-14'!$F$10="10% (Medio Alto)",ROUND('Tabla de Amortizacion'!F7,8),IF('CALCULADORA TIPS Pesos E-14'!$F$10="14% (Alto)",ROUND('Tabla de Amortizacion'!H7,8),IF('CALCULADORA TIPS Pesos E-14'!$F$10=20%,ROUND('Tabla de Amortizacion'!J7,8),ROUND('Tabla de Amortizacion'!L7,8))))))</f>
        <v>0.03057498</v>
      </c>
    </row>
    <row r="7" spans="1:2" ht="12.75">
      <c r="A7" s="127">
        <f t="shared" si="0"/>
        <v>40473</v>
      </c>
      <c r="B7" s="128">
        <f>IF('CALCULADORA TIPS Pesos E-14'!$F$10="Contractual",ROUND('Tabla de Amortizacion'!B8,8),IF('CALCULADORA TIPS Pesos E-14'!$F$10="6% (Medio)",ROUND('Tabla de Amortizacion'!D8,8),IF('CALCULADORA TIPS Pesos E-14'!$F$10="10% (Medio Alto)",ROUND('Tabla de Amortizacion'!F8,8),IF('CALCULADORA TIPS Pesos E-14'!$F$10="14% (Alto)",ROUND('Tabla de Amortizacion'!H8,8),IF('CALCULADORA TIPS Pesos E-14'!$F$10=20%,ROUND('Tabla de Amortizacion'!J8,8),ROUND('Tabla de Amortizacion'!L8,8))))))</f>
        <v>0.04545561</v>
      </c>
    </row>
    <row r="8" spans="1:2" ht="12.75">
      <c r="A8" s="127">
        <f t="shared" si="0"/>
        <v>40504</v>
      </c>
      <c r="B8" s="128">
        <f>IF('CALCULADORA TIPS Pesos E-14'!$F$10="Contractual",ROUND('Tabla de Amortizacion'!B9,8),IF('CALCULADORA TIPS Pesos E-14'!$F$10="6% (Medio)",ROUND('Tabla de Amortizacion'!D9,8),IF('CALCULADORA TIPS Pesos E-14'!$F$10="10% (Medio Alto)",ROUND('Tabla de Amortizacion'!F9,8),IF('CALCULADORA TIPS Pesos E-14'!$F$10="14% (Alto)",ROUND('Tabla de Amortizacion'!H9,8),IF('CALCULADORA TIPS Pesos E-14'!$F$10=20%,ROUND('Tabla de Amortizacion'!J9,8),ROUND('Tabla de Amortizacion'!L9,8))))))</f>
        <v>0.05209354</v>
      </c>
    </row>
    <row r="9" spans="1:2" ht="12.75">
      <c r="A9" s="127">
        <f t="shared" si="0"/>
        <v>40534</v>
      </c>
      <c r="B9" s="128">
        <f>IF('CALCULADORA TIPS Pesos E-14'!$F$10="Contractual",ROUND('Tabla de Amortizacion'!B10,8),IF('CALCULADORA TIPS Pesos E-14'!$F$10="6% (Medio)",ROUND('Tabla de Amortizacion'!D10,8),IF('CALCULADORA TIPS Pesos E-14'!$F$10="10% (Medio Alto)",ROUND('Tabla de Amortizacion'!F10,8),IF('CALCULADORA TIPS Pesos E-14'!$F$10="14% (Alto)",ROUND('Tabla de Amortizacion'!H10,8),IF('CALCULADORA TIPS Pesos E-14'!$F$10=20%,ROUND('Tabla de Amortizacion'!J10,8),ROUND('Tabla de Amortizacion'!L10,8))))))</f>
        <v>0.03727304</v>
      </c>
    </row>
    <row r="10" spans="1:2" ht="12.75">
      <c r="A10" s="127">
        <f t="shared" si="0"/>
        <v>40565</v>
      </c>
      <c r="B10" s="128">
        <f>IF('CALCULADORA TIPS Pesos E-14'!$F$10="Contractual",ROUND('Tabla de Amortizacion'!B11,8),IF('CALCULADORA TIPS Pesos E-14'!$F$10="6% (Medio)",ROUND('Tabla de Amortizacion'!D11,8),IF('CALCULADORA TIPS Pesos E-14'!$F$10="10% (Medio Alto)",ROUND('Tabla de Amortizacion'!F11,8),IF('CALCULADORA TIPS Pesos E-14'!$F$10="14% (Alto)",ROUND('Tabla de Amortizacion'!H11,8),IF('CALCULADORA TIPS Pesos E-14'!$F$10=20%,ROUND('Tabla de Amortizacion'!J11,8),ROUND('Tabla de Amortizacion'!L11,8))))))</f>
        <v>0.032033</v>
      </c>
    </row>
    <row r="11" spans="1:2" ht="12.75">
      <c r="A11" s="127">
        <f t="shared" si="0"/>
        <v>40596</v>
      </c>
      <c r="B11" s="128">
        <f>IF('CALCULADORA TIPS Pesos E-14'!$F$10="Contractual",ROUND('Tabla de Amortizacion'!B12,8),IF('CALCULADORA TIPS Pesos E-14'!$F$10="6% (Medio)",ROUND('Tabla de Amortizacion'!D12,8),IF('CALCULADORA TIPS Pesos E-14'!$F$10="10% (Medio Alto)",ROUND('Tabla de Amortizacion'!F12,8),IF('CALCULADORA TIPS Pesos E-14'!$F$10="14% (Alto)",ROUND('Tabla de Amortizacion'!H12,8),IF('CALCULADORA TIPS Pesos E-14'!$F$10=20%,ROUND('Tabla de Amortizacion'!J12,8),ROUND('Tabla de Amortizacion'!L12,8))))))</f>
        <v>0.0301387</v>
      </c>
    </row>
    <row r="12" spans="1:2" ht="12.75">
      <c r="A12" s="127">
        <f t="shared" si="0"/>
        <v>40624</v>
      </c>
      <c r="B12" s="128">
        <f>IF('CALCULADORA TIPS Pesos E-14'!$F$10="Contractual",ROUND('Tabla de Amortizacion'!B13,8),IF('CALCULADORA TIPS Pesos E-14'!$F$10="6% (Medio)",ROUND('Tabla de Amortizacion'!D13,8),IF('CALCULADORA TIPS Pesos E-14'!$F$10="10% (Medio Alto)",ROUND('Tabla de Amortizacion'!F13,8),IF('CALCULADORA TIPS Pesos E-14'!$F$10="14% (Alto)",ROUND('Tabla de Amortizacion'!H13,8),IF('CALCULADORA TIPS Pesos E-14'!$F$10=20%,ROUND('Tabla de Amortizacion'!J13,8),ROUND('Tabla de Amortizacion'!L13,8))))))</f>
        <v>0.03311369</v>
      </c>
    </row>
    <row r="13" spans="1:2" ht="12.75">
      <c r="A13" s="127">
        <f t="shared" si="0"/>
        <v>40655</v>
      </c>
      <c r="B13" s="128">
        <f>IF('CALCULADORA TIPS Pesos E-14'!$F$10="Contractual",ROUND('Tabla de Amortizacion'!B14,8),IF('CALCULADORA TIPS Pesos E-14'!$F$10="6% (Medio)",ROUND('Tabla de Amortizacion'!D14,8),IF('CALCULADORA TIPS Pesos E-14'!$F$10="10% (Medio Alto)",ROUND('Tabla de Amortizacion'!F14,8),IF('CALCULADORA TIPS Pesos E-14'!$F$10="14% (Alto)",ROUND('Tabla de Amortizacion'!H14,8),IF('CALCULADORA TIPS Pesos E-14'!$F$10=20%,ROUND('Tabla de Amortizacion'!J14,8),ROUND('Tabla de Amortizacion'!L14,8))))))</f>
        <v>0.0283669</v>
      </c>
    </row>
    <row r="14" spans="1:2" ht="12.75">
      <c r="A14" s="127">
        <f t="shared" si="0"/>
        <v>40685</v>
      </c>
      <c r="B14" s="128">
        <f>IF('CALCULADORA TIPS Pesos E-14'!$F$10="Contractual",ROUND('Tabla de Amortizacion'!B15,8),IF('CALCULADORA TIPS Pesos E-14'!$F$10="6% (Medio)",ROUND('Tabla de Amortizacion'!D15,8),IF('CALCULADORA TIPS Pesos E-14'!$F$10="10% (Medio Alto)",ROUND('Tabla de Amortizacion'!F15,8),IF('CALCULADORA TIPS Pesos E-14'!$F$10="14% (Alto)",ROUND('Tabla de Amortizacion'!H15,8),IF('CALCULADORA TIPS Pesos E-14'!$F$10=20%,ROUND('Tabla de Amortizacion'!J15,8),ROUND('Tabla de Amortizacion'!L15,8))))))</f>
        <v>0.0213269</v>
      </c>
    </row>
    <row r="15" spans="1:2" ht="12.75">
      <c r="A15" s="127">
        <f t="shared" si="0"/>
        <v>40716</v>
      </c>
      <c r="B15" s="128">
        <f>IF('CALCULADORA TIPS Pesos E-14'!$F$10="Contractual",ROUND('Tabla de Amortizacion'!B16,8),IF('CALCULADORA TIPS Pesos E-14'!$F$10="6% (Medio)",ROUND('Tabla de Amortizacion'!D16,8),IF('CALCULADORA TIPS Pesos E-14'!$F$10="10% (Medio Alto)",ROUND('Tabla de Amortizacion'!F16,8),IF('CALCULADORA TIPS Pesos E-14'!$F$10="14% (Alto)",ROUND('Tabla de Amortizacion'!H16,8),IF('CALCULADORA TIPS Pesos E-14'!$F$10=20%,ROUND('Tabla de Amortizacion'!J16,8),ROUND('Tabla de Amortizacion'!L16,8))))))</f>
        <v>0.03129923</v>
      </c>
    </row>
    <row r="16" spans="1:2" ht="12.75">
      <c r="A16" s="127">
        <f t="shared" si="0"/>
        <v>40746</v>
      </c>
      <c r="B16" s="128">
        <f>IF('CALCULADORA TIPS Pesos E-14'!$F$10="Contractual",ROUND('Tabla de Amortizacion'!B17,8),IF('CALCULADORA TIPS Pesos E-14'!$F$10="6% (Medio)",ROUND('Tabla de Amortizacion'!D17,8),IF('CALCULADORA TIPS Pesos E-14'!$F$10="10% (Medio Alto)",ROUND('Tabla de Amortizacion'!F17,8),IF('CALCULADORA TIPS Pesos E-14'!$F$10="14% (Alto)",ROUND('Tabla de Amortizacion'!H17,8),IF('CALCULADORA TIPS Pesos E-14'!$F$10=20%,ROUND('Tabla de Amortizacion'!J17,8),ROUND('Tabla de Amortizacion'!L17,8))))))</f>
        <v>0.02946741</v>
      </c>
    </row>
    <row r="17" spans="1:2" ht="12.75">
      <c r="A17" s="127">
        <f t="shared" si="0"/>
        <v>40777</v>
      </c>
      <c r="B17" s="128">
        <f>IF('CALCULADORA TIPS Pesos E-14'!$F$10="Contractual",ROUND('Tabla de Amortizacion'!B18,8),IF('CALCULADORA TIPS Pesos E-14'!$F$10="6% (Medio)",ROUND('Tabla de Amortizacion'!D18,8),IF('CALCULADORA TIPS Pesos E-14'!$F$10="10% (Medio Alto)",ROUND('Tabla de Amortizacion'!F18,8),IF('CALCULADORA TIPS Pesos E-14'!$F$10="14% (Alto)",ROUND('Tabla de Amortizacion'!H18,8),IF('CALCULADORA TIPS Pesos E-14'!$F$10=20%,ROUND('Tabla de Amortizacion'!J18,8),ROUND('Tabla de Amortizacion'!L18,8))))))</f>
        <v>0.0211245</v>
      </c>
    </row>
    <row r="18" spans="1:2" ht="12.75">
      <c r="A18" s="127">
        <f t="shared" si="0"/>
        <v>40808</v>
      </c>
      <c r="B18" s="128">
        <f>IF('CALCULADORA TIPS Pesos E-14'!$F$10="Contractual",ROUND('Tabla de Amortizacion'!B19,8),IF('CALCULADORA TIPS Pesos E-14'!$F$10="6% (Medio)",ROUND('Tabla de Amortizacion'!D19,8),IF('CALCULADORA TIPS Pesos E-14'!$F$10="10% (Medio Alto)",ROUND('Tabla de Amortizacion'!F19,8),IF('CALCULADORA TIPS Pesos E-14'!$F$10="14% (Alto)",ROUND('Tabla de Amortizacion'!H19,8),IF('CALCULADORA TIPS Pesos E-14'!$F$10=20%,ROUND('Tabla de Amortizacion'!J19,8),ROUND('Tabla de Amortizacion'!L19,8))))))</f>
        <v>0.0226958</v>
      </c>
    </row>
    <row r="19" spans="1:2" ht="12.75">
      <c r="A19" s="127">
        <f t="shared" si="0"/>
        <v>40838</v>
      </c>
      <c r="B19" s="128">
        <f>IF('CALCULADORA TIPS Pesos E-14'!$F$10="Contractual",ROUND('Tabla de Amortizacion'!B20,8),IF('CALCULADORA TIPS Pesos E-14'!$F$10="6% (Medio)",ROUND('Tabla de Amortizacion'!D20,8),IF('CALCULADORA TIPS Pesos E-14'!$F$10="10% (Medio Alto)",ROUND('Tabla de Amortizacion'!F20,8),IF('CALCULADORA TIPS Pesos E-14'!$F$10="14% (Alto)",ROUND('Tabla de Amortizacion'!H20,8),IF('CALCULADORA TIPS Pesos E-14'!$F$10=20%,ROUND('Tabla de Amortizacion'!J20,8),ROUND('Tabla de Amortizacion'!L20,8))))))</f>
        <v>0.02048302</v>
      </c>
    </row>
    <row r="20" spans="1:2" ht="12.75">
      <c r="A20" s="127">
        <f t="shared" si="0"/>
        <v>40869</v>
      </c>
      <c r="B20" s="128">
        <f>IF('CALCULADORA TIPS Pesos E-14'!$F$10="Contractual",ROUND('Tabla de Amortizacion'!B21,8),IF('CALCULADORA TIPS Pesos E-14'!$F$10="6% (Medio)",ROUND('Tabla de Amortizacion'!D21,8),IF('CALCULADORA TIPS Pesos E-14'!$F$10="10% (Medio Alto)",ROUND('Tabla de Amortizacion'!F21,8),IF('CALCULADORA TIPS Pesos E-14'!$F$10="14% (Alto)",ROUND('Tabla de Amortizacion'!H21,8),IF('CALCULADORA TIPS Pesos E-14'!$F$10=20%,ROUND('Tabla de Amortizacion'!J21,8),ROUND('Tabla de Amortizacion'!L21,8))))))</f>
        <v>0.01264077</v>
      </c>
    </row>
    <row r="21" spans="1:2" ht="12.75">
      <c r="A21" s="127">
        <f t="shared" si="0"/>
        <v>40899</v>
      </c>
      <c r="B21" s="128">
        <f>IF('CALCULADORA TIPS Pesos E-14'!$F$10="Contractual",ROUND('Tabla de Amortizacion'!B22,8),IF('CALCULADORA TIPS Pesos E-14'!$F$10="6% (Medio)",ROUND('Tabla de Amortizacion'!D22,8),IF('CALCULADORA TIPS Pesos E-14'!$F$10="10% (Medio Alto)",ROUND('Tabla de Amortizacion'!F22,8),IF('CALCULADORA TIPS Pesos E-14'!$F$10="14% (Alto)",ROUND('Tabla de Amortizacion'!H22,8),IF('CALCULADORA TIPS Pesos E-14'!$F$10=20%,ROUND('Tabla de Amortizacion'!J22,8),ROUND('Tabla de Amortizacion'!L22,8))))))</f>
        <v>0.01800998</v>
      </c>
    </row>
    <row r="22" spans="1:2" ht="12.75">
      <c r="A22" s="127">
        <f t="shared" si="0"/>
        <v>40930</v>
      </c>
      <c r="B22" s="128">
        <f>IF('CALCULADORA TIPS Pesos E-14'!$F$10="Contractual",ROUND('Tabla de Amortizacion'!B23,8),IF('CALCULADORA TIPS Pesos E-14'!$F$10="6% (Medio)",ROUND('Tabla de Amortizacion'!D23,8),IF('CALCULADORA TIPS Pesos E-14'!$F$10="10% (Medio Alto)",ROUND('Tabla de Amortizacion'!F23,8),IF('CALCULADORA TIPS Pesos E-14'!$F$10="14% (Alto)",ROUND('Tabla de Amortizacion'!H23,8),IF('CALCULADORA TIPS Pesos E-14'!$F$10=20%,ROUND('Tabla de Amortizacion'!J23,8),ROUND('Tabla de Amortizacion'!L23,8))))))</f>
        <v>0.01573262</v>
      </c>
    </row>
    <row r="23" spans="1:2" ht="12.75">
      <c r="A23" s="127">
        <f t="shared" si="0"/>
        <v>40961</v>
      </c>
      <c r="B23" s="128">
        <f>IF('CALCULADORA TIPS Pesos E-14'!$F$10="Contractual",ROUND('Tabla de Amortizacion'!B24,8),IF('CALCULADORA TIPS Pesos E-14'!$F$10="6% (Medio)",ROUND('Tabla de Amortizacion'!D24,8),IF('CALCULADORA TIPS Pesos E-14'!$F$10="10% (Medio Alto)",ROUND('Tabla de Amortizacion'!F24,8),IF('CALCULADORA TIPS Pesos E-14'!$F$10="14% (Alto)",ROUND('Tabla de Amortizacion'!H24,8),IF('CALCULADORA TIPS Pesos E-14'!$F$10=20%,ROUND('Tabla de Amortizacion'!J24,8),ROUND('Tabla de Amortizacion'!L24,8))))))</f>
        <v>0.01565051</v>
      </c>
    </row>
    <row r="24" spans="1:2" ht="12.75">
      <c r="A24" s="127">
        <f t="shared" si="0"/>
        <v>40990</v>
      </c>
      <c r="B24" s="128">
        <f>IF('CALCULADORA TIPS Pesos E-14'!$F$10="Contractual",ROUND('Tabla de Amortizacion'!B25,8),IF('CALCULADORA TIPS Pesos E-14'!$F$10="6% (Medio)",ROUND('Tabla de Amortizacion'!D25,8),IF('CALCULADORA TIPS Pesos E-14'!$F$10="10% (Medio Alto)",ROUND('Tabla de Amortizacion'!F25,8),IF('CALCULADORA TIPS Pesos E-14'!$F$10="14% (Alto)",ROUND('Tabla de Amortizacion'!H25,8),IF('CALCULADORA TIPS Pesos E-14'!$F$10=20%,ROUND('Tabla de Amortizacion'!J25,8),ROUND('Tabla de Amortizacion'!L25,8))))))</f>
        <v>0.01552321</v>
      </c>
    </row>
    <row r="25" spans="1:2" ht="12.75">
      <c r="A25" s="127">
        <f t="shared" si="0"/>
        <v>41021</v>
      </c>
      <c r="B25" s="128">
        <f>IF('CALCULADORA TIPS Pesos E-14'!$F$10="Contractual",ROUND('Tabla de Amortizacion'!B26,8),IF('CALCULADORA TIPS Pesos E-14'!$F$10="6% (Medio)",ROUND('Tabla de Amortizacion'!D26,8),IF('CALCULADORA TIPS Pesos E-14'!$F$10="10% (Medio Alto)",ROUND('Tabla de Amortizacion'!F26,8),IF('CALCULADORA TIPS Pesos E-14'!$F$10="14% (Alto)",ROUND('Tabla de Amortizacion'!H26,8),IF('CALCULADORA TIPS Pesos E-14'!$F$10=20%,ROUND('Tabla de Amortizacion'!J26,8),ROUND('Tabla de Amortizacion'!L26,8))))))</f>
        <v>0.0140191</v>
      </c>
    </row>
    <row r="26" spans="1:2" ht="12.75">
      <c r="A26" s="127">
        <f t="shared" si="0"/>
        <v>41051</v>
      </c>
      <c r="B26" s="128">
        <f>IF('CALCULADORA TIPS Pesos E-14'!$F$10="Contractual",ROUND('Tabla de Amortizacion'!B27,8),IF('CALCULADORA TIPS Pesos E-14'!$F$10="6% (Medio)",ROUND('Tabla de Amortizacion'!D27,8),IF('CALCULADORA TIPS Pesos E-14'!$F$10="10% (Medio Alto)",ROUND('Tabla de Amortizacion'!F27,8),IF('CALCULADORA TIPS Pesos E-14'!$F$10="14% (Alto)",ROUND('Tabla de Amortizacion'!H27,8),IF('CALCULADORA TIPS Pesos E-14'!$F$10=20%,ROUND('Tabla de Amortizacion'!J27,8),ROUND('Tabla de Amortizacion'!L27,8))))))</f>
        <v>0.01391022</v>
      </c>
    </row>
    <row r="27" spans="1:2" ht="12.75">
      <c r="A27" s="127">
        <f t="shared" si="0"/>
        <v>41082</v>
      </c>
      <c r="B27" s="128">
        <f>IF('CALCULADORA TIPS Pesos E-14'!$F$10="Contractual",ROUND('Tabla de Amortizacion'!B28,8),IF('CALCULADORA TIPS Pesos E-14'!$F$10="6% (Medio)",ROUND('Tabla de Amortizacion'!D28,8),IF('CALCULADORA TIPS Pesos E-14'!$F$10="10% (Medio Alto)",ROUND('Tabla de Amortizacion'!F28,8),IF('CALCULADORA TIPS Pesos E-14'!$F$10="14% (Alto)",ROUND('Tabla de Amortizacion'!H28,8),IF('CALCULADORA TIPS Pesos E-14'!$F$10=20%,ROUND('Tabla de Amortizacion'!J28,8),ROUND('Tabla de Amortizacion'!L28,8))))))</f>
        <v>0.01563832</v>
      </c>
    </row>
    <row r="28" spans="1:2" ht="12.75">
      <c r="A28" s="127">
        <f t="shared" si="0"/>
        <v>41112</v>
      </c>
      <c r="B28" s="128">
        <f>IF('CALCULADORA TIPS Pesos E-14'!$F$10="Contractual",ROUND('Tabla de Amortizacion'!B29,8),IF('CALCULADORA TIPS Pesos E-14'!$F$10="6% (Medio)",ROUND('Tabla de Amortizacion'!D29,8),IF('CALCULADORA TIPS Pesos E-14'!$F$10="10% (Medio Alto)",ROUND('Tabla de Amortizacion'!F29,8),IF('CALCULADORA TIPS Pesos E-14'!$F$10="14% (Alto)",ROUND('Tabla de Amortizacion'!H29,8),IF('CALCULADORA TIPS Pesos E-14'!$F$10=20%,ROUND('Tabla de Amortizacion'!J29,8),ROUND('Tabla de Amortizacion'!L29,8))))))</f>
        <v>0.01122805</v>
      </c>
    </row>
    <row r="29" spans="1:2" ht="12.75">
      <c r="A29" s="127">
        <f t="shared" si="0"/>
        <v>41143</v>
      </c>
      <c r="B29" s="128">
        <f>IF('CALCULADORA TIPS Pesos E-14'!$F$10="Contractual",ROUND('Tabla de Amortizacion'!B30,8),IF('CALCULADORA TIPS Pesos E-14'!$F$10="6% (Medio)",ROUND('Tabla de Amortizacion'!D30,8),IF('CALCULADORA TIPS Pesos E-14'!$F$10="10% (Medio Alto)",ROUND('Tabla de Amortizacion'!F30,8),IF('CALCULADORA TIPS Pesos E-14'!$F$10="14% (Alto)",ROUND('Tabla de Amortizacion'!H30,8),IF('CALCULADORA TIPS Pesos E-14'!$F$10=20%,ROUND('Tabla de Amortizacion'!J30,8),ROUND('Tabla de Amortizacion'!L30,8))))))</f>
        <v>0.01522112</v>
      </c>
    </row>
    <row r="30" spans="1:2" ht="12.75">
      <c r="A30" s="127">
        <f t="shared" si="0"/>
        <v>41174</v>
      </c>
      <c r="B30" s="128">
        <f>IF('CALCULADORA TIPS Pesos E-14'!$F$10="Contractual",ROUND('Tabla de Amortizacion'!B31,8),IF('CALCULADORA TIPS Pesos E-14'!$F$10="6% (Medio)",ROUND('Tabla de Amortizacion'!D31,8),IF('CALCULADORA TIPS Pesos E-14'!$F$10="10% (Medio Alto)",ROUND('Tabla de Amortizacion'!F31,8),IF('CALCULADORA TIPS Pesos E-14'!$F$10="14% (Alto)",ROUND('Tabla de Amortizacion'!H31,8),IF('CALCULADORA TIPS Pesos E-14'!$F$10=20%,ROUND('Tabla de Amortizacion'!J31,8),ROUND('Tabla de Amortizacion'!L31,8))))))</f>
        <v>0.01915152</v>
      </c>
    </row>
    <row r="31" spans="1:2" ht="12.75">
      <c r="A31" s="127">
        <f t="shared" si="0"/>
        <v>41204</v>
      </c>
      <c r="B31" s="128">
        <f>IF('CALCULADORA TIPS Pesos E-14'!$F$10="Contractual",ROUND('Tabla de Amortizacion'!B32,8),IF('CALCULADORA TIPS Pesos E-14'!$F$10="6% (Medio)",ROUND('Tabla de Amortizacion'!D32,8),IF('CALCULADORA TIPS Pesos E-14'!$F$10="10% (Medio Alto)",ROUND('Tabla de Amortizacion'!F32,8),IF('CALCULADORA TIPS Pesos E-14'!$F$10="14% (Alto)",ROUND('Tabla de Amortizacion'!H32,8),IF('CALCULADORA TIPS Pesos E-14'!$F$10=20%,ROUND('Tabla de Amortizacion'!J32,8),ROUND('Tabla de Amortizacion'!L32,8))))))</f>
        <v>0.01367019</v>
      </c>
    </row>
    <row r="32" spans="1:2" ht="12.75">
      <c r="A32" s="127">
        <f t="shared" si="0"/>
        <v>41235</v>
      </c>
      <c r="B32" s="128">
        <f>IF('CALCULADORA TIPS Pesos E-14'!$F$10="Contractual",ROUND('Tabla de Amortizacion'!B33,8),IF('CALCULADORA TIPS Pesos E-14'!$F$10="6% (Medio)",ROUND('Tabla de Amortizacion'!D33,8),IF('CALCULADORA TIPS Pesos E-14'!$F$10="10% (Medio Alto)",ROUND('Tabla de Amortizacion'!F33,8),IF('CALCULADORA TIPS Pesos E-14'!$F$10="14% (Alto)",ROUND('Tabla de Amortizacion'!H33,8),IF('CALCULADORA TIPS Pesos E-14'!$F$10=20%,ROUND('Tabla de Amortizacion'!J33,8),ROUND('Tabla de Amortizacion'!L33,8))))))</f>
        <v>0.01563531</v>
      </c>
    </row>
    <row r="33" spans="1:2" ht="12.75">
      <c r="A33" s="127">
        <f t="shared" si="0"/>
        <v>41265</v>
      </c>
      <c r="B33" s="128">
        <f>IF('CALCULADORA TIPS Pesos E-14'!$F$10="Contractual",ROUND('Tabla de Amortizacion'!B34,8),IF('CALCULADORA TIPS Pesos E-14'!$F$10="6% (Medio)",ROUND('Tabla de Amortizacion'!D34,8),IF('CALCULADORA TIPS Pesos E-14'!$F$10="10% (Medio Alto)",ROUND('Tabla de Amortizacion'!F34,8),IF('CALCULADORA TIPS Pesos E-14'!$F$10="14% (Alto)",ROUND('Tabla de Amortizacion'!H34,8),IF('CALCULADORA TIPS Pesos E-14'!$F$10=20%,ROUND('Tabla de Amortizacion'!J34,8),ROUND('Tabla de Amortizacion'!L34,8))))))</f>
        <v>0.02511785</v>
      </c>
    </row>
    <row r="34" spans="1:2" ht="12.75">
      <c r="A34" s="127">
        <f t="shared" si="0"/>
        <v>41296</v>
      </c>
      <c r="B34" s="128">
        <f>IF('CALCULADORA TIPS Pesos E-14'!$F$10="Contractual",ROUND('Tabla de Amortizacion'!B35,8),IF('CALCULADORA TIPS Pesos E-14'!$F$10="6% (Medio)",ROUND('Tabla de Amortizacion'!D35,8),IF('CALCULADORA TIPS Pesos E-14'!$F$10="10% (Medio Alto)",ROUND('Tabla de Amortizacion'!F35,8),IF('CALCULADORA TIPS Pesos E-14'!$F$10="14% (Alto)",ROUND('Tabla de Amortizacion'!H35,8),IF('CALCULADORA TIPS Pesos E-14'!$F$10=20%,ROUND('Tabla de Amortizacion'!J35,8),ROUND('Tabla de Amortizacion'!L35,8))))))</f>
        <v>0.01233616</v>
      </c>
    </row>
    <row r="35" spans="1:2" ht="12.75">
      <c r="A35" s="127">
        <f aca="true" t="shared" si="1" ref="A35:A66">_XLL.FECHA.MES(A34,1)</f>
        <v>41327</v>
      </c>
      <c r="B35" s="128">
        <f>IF('CALCULADORA TIPS Pesos E-14'!$F$10="Contractual",ROUND('Tabla de Amortizacion'!B36,8),IF('CALCULADORA TIPS Pesos E-14'!$F$10="6% (Medio)",ROUND('Tabla de Amortizacion'!D36,8),IF('CALCULADORA TIPS Pesos E-14'!$F$10="10% (Medio Alto)",ROUND('Tabla de Amortizacion'!F36,8),IF('CALCULADORA TIPS Pesos E-14'!$F$10="14% (Alto)",ROUND('Tabla de Amortizacion'!H36,8),IF('CALCULADORA TIPS Pesos E-14'!$F$10=20%,ROUND('Tabla de Amortizacion'!J36,8),ROUND('Tabla de Amortizacion'!L36,8))))))</f>
        <v>0.01196947</v>
      </c>
    </row>
    <row r="36" spans="1:2" ht="12.75">
      <c r="A36" s="127">
        <f t="shared" si="1"/>
        <v>41355</v>
      </c>
      <c r="B36" s="128">
        <f>IF('CALCULADORA TIPS Pesos E-14'!$F$10="Contractual",ROUND('Tabla de Amortizacion'!B37,8),IF('CALCULADORA TIPS Pesos E-14'!$F$10="6% (Medio)",ROUND('Tabla de Amortizacion'!D37,8),IF('CALCULADORA TIPS Pesos E-14'!$F$10="10% (Medio Alto)",ROUND('Tabla de Amortizacion'!F37,8),IF('CALCULADORA TIPS Pesos E-14'!$F$10="14% (Alto)",ROUND('Tabla de Amortizacion'!H37,8),IF('CALCULADORA TIPS Pesos E-14'!$F$10=20%,ROUND('Tabla de Amortizacion'!J37,8),ROUND('Tabla de Amortizacion'!L37,8))))))</f>
        <v>0.01349256</v>
      </c>
    </row>
    <row r="37" spans="1:2" ht="12.75">
      <c r="A37" s="127">
        <f t="shared" si="1"/>
        <v>41386</v>
      </c>
      <c r="B37" s="128">
        <f>IF('CALCULADORA TIPS Pesos E-14'!$F$10="Contractual",ROUND('Tabla de Amortizacion'!B38,8),IF('CALCULADORA TIPS Pesos E-14'!$F$10="6% (Medio)",ROUND('Tabla de Amortizacion'!D38,8),IF('CALCULADORA TIPS Pesos E-14'!$F$10="10% (Medio Alto)",ROUND('Tabla de Amortizacion'!F38,8),IF('CALCULADORA TIPS Pesos E-14'!$F$10="14% (Alto)",ROUND('Tabla de Amortizacion'!H38,8),IF('CALCULADORA TIPS Pesos E-14'!$F$10=20%,ROUND('Tabla de Amortizacion'!J38,8),ROUND('Tabla de Amortizacion'!L38,8))))))</f>
        <v>0.01397478</v>
      </c>
    </row>
    <row r="38" spans="1:2" ht="12.75">
      <c r="A38" s="127">
        <f t="shared" si="1"/>
        <v>41416</v>
      </c>
      <c r="B38" s="128">
        <f>IF('CALCULADORA TIPS Pesos E-14'!$F$10="Contractual",ROUND('Tabla de Amortizacion'!B39,8),IF('CALCULADORA TIPS Pesos E-14'!$F$10="6% (Medio)",ROUND('Tabla de Amortizacion'!D39,8),IF('CALCULADORA TIPS Pesos E-14'!$F$10="10% (Medio Alto)",ROUND('Tabla de Amortizacion'!F39,8),IF('CALCULADORA TIPS Pesos E-14'!$F$10="14% (Alto)",ROUND('Tabla de Amortizacion'!H39,8),IF('CALCULADORA TIPS Pesos E-14'!$F$10=20%,ROUND('Tabla de Amortizacion'!J39,8),ROUND('Tabla de Amortizacion'!L39,8))))))</f>
        <v>0.01431708</v>
      </c>
    </row>
    <row r="39" spans="1:2" ht="12.75">
      <c r="A39" s="127">
        <f t="shared" si="1"/>
        <v>41447</v>
      </c>
      <c r="B39" s="128">
        <f>IF('CALCULADORA TIPS Pesos E-14'!$F$10="Contractual",ROUND('Tabla de Amortizacion'!B40,8),IF('CALCULADORA TIPS Pesos E-14'!$F$10="6% (Medio)",ROUND('Tabla de Amortizacion'!D40,8),IF('CALCULADORA TIPS Pesos E-14'!$F$10="10% (Medio Alto)",ROUND('Tabla de Amortizacion'!F40,8),IF('CALCULADORA TIPS Pesos E-14'!$F$10="14% (Alto)",ROUND('Tabla de Amortizacion'!H40,8),IF('CALCULADORA TIPS Pesos E-14'!$F$10=20%,ROUND('Tabla de Amortizacion'!J40,8),ROUND('Tabla de Amortizacion'!L40,8))))))</f>
        <v>0.02150747</v>
      </c>
    </row>
    <row r="40" spans="1:2" ht="12.75">
      <c r="A40" s="127">
        <f t="shared" si="1"/>
        <v>41477</v>
      </c>
      <c r="B40" s="128">
        <f>IF('CALCULADORA TIPS Pesos E-14'!$F$10="Contractual",ROUND('Tabla de Amortizacion'!B41,8),IF('CALCULADORA TIPS Pesos E-14'!$F$10="6% (Medio)",ROUND('Tabla de Amortizacion'!D41,8),IF('CALCULADORA TIPS Pesos E-14'!$F$10="10% (Medio Alto)",ROUND('Tabla de Amortizacion'!F41,8),IF('CALCULADORA TIPS Pesos E-14'!$F$10="14% (Alto)",ROUND('Tabla de Amortizacion'!H41,8),IF('CALCULADORA TIPS Pesos E-14'!$F$10=20%,ROUND('Tabla de Amortizacion'!J41,8),ROUND('Tabla de Amortizacion'!L41,8))))))</f>
        <v>0.01906017</v>
      </c>
    </row>
    <row r="41" spans="1:2" ht="12.75">
      <c r="A41" s="127">
        <f t="shared" si="1"/>
        <v>41508</v>
      </c>
      <c r="B41" s="128">
        <f>IF('CALCULADORA TIPS Pesos E-14'!$F$10="Contractual",ROUND('Tabla de Amortizacion'!B42,8),IF('CALCULADORA TIPS Pesos E-14'!$F$10="6% (Medio)",ROUND('Tabla de Amortizacion'!D42,8),IF('CALCULADORA TIPS Pesos E-14'!$F$10="10% (Medio Alto)",ROUND('Tabla de Amortizacion'!F42,8),IF('CALCULADORA TIPS Pesos E-14'!$F$10="14% (Alto)",ROUND('Tabla de Amortizacion'!H42,8),IF('CALCULADORA TIPS Pesos E-14'!$F$10=20%,ROUND('Tabla de Amortizacion'!J42,8),ROUND('Tabla de Amortizacion'!L42,8))))))</f>
        <v>0.01739952</v>
      </c>
    </row>
    <row r="42" spans="1:2" ht="12.75">
      <c r="A42" s="127">
        <f t="shared" si="1"/>
        <v>41539</v>
      </c>
      <c r="B42" s="128">
        <f>IF('CALCULADORA TIPS Pesos E-14'!$F$10="Contractual",ROUND('Tabla de Amortizacion'!B43,8),IF('CALCULADORA TIPS Pesos E-14'!$F$10="6% (Medio)",ROUND('Tabla de Amortizacion'!D43,8),IF('CALCULADORA TIPS Pesos E-14'!$F$10="10% (Medio Alto)",ROUND('Tabla de Amortizacion'!F43,8),IF('CALCULADORA TIPS Pesos E-14'!$F$10="14% (Alto)",ROUND('Tabla de Amortizacion'!H43,8),IF('CALCULADORA TIPS Pesos E-14'!$F$10=20%,ROUND('Tabla de Amortizacion'!J43,8),ROUND('Tabla de Amortizacion'!L43,8))))))</f>
        <v>0.01349764</v>
      </c>
    </row>
    <row r="43" spans="1:2" ht="12.75">
      <c r="A43" s="127">
        <f t="shared" si="1"/>
        <v>41569</v>
      </c>
      <c r="B43" s="128">
        <f>IF('CALCULADORA TIPS Pesos E-14'!$F$10="Contractual",ROUND('Tabla de Amortizacion'!B44,8),IF('CALCULADORA TIPS Pesos E-14'!$F$10="6% (Medio)",ROUND('Tabla de Amortizacion'!D44,8),IF('CALCULADORA TIPS Pesos E-14'!$F$10="10% (Medio Alto)",ROUND('Tabla de Amortizacion'!F44,8),IF('CALCULADORA TIPS Pesos E-14'!$F$10="14% (Alto)",ROUND('Tabla de Amortizacion'!H44,8),IF('CALCULADORA TIPS Pesos E-14'!$F$10=20%,ROUND('Tabla de Amortizacion'!J44,8),ROUND('Tabla de Amortizacion'!L44,8))))))</f>
        <v>0.01251497</v>
      </c>
    </row>
    <row r="44" spans="1:2" ht="12.75">
      <c r="A44" s="127">
        <f t="shared" si="1"/>
        <v>41600</v>
      </c>
      <c r="B44" s="128">
        <f>IF('CALCULADORA TIPS Pesos E-14'!$F$10="Contractual",ROUND('Tabla de Amortizacion'!B45,8),IF('CALCULADORA TIPS Pesos E-14'!$F$10="6% (Medio)",ROUND('Tabla de Amortizacion'!D45,8),IF('CALCULADORA TIPS Pesos E-14'!$F$10="10% (Medio Alto)",ROUND('Tabla de Amortizacion'!F45,8),IF('CALCULADORA TIPS Pesos E-14'!$F$10="14% (Alto)",ROUND('Tabla de Amortizacion'!H45,8),IF('CALCULADORA TIPS Pesos E-14'!$F$10=20%,ROUND('Tabla de Amortizacion'!J45,8),ROUND('Tabla de Amortizacion'!L45,8))))))</f>
        <v>0.01031109</v>
      </c>
    </row>
    <row r="45" spans="1:2" ht="12.75">
      <c r="A45" s="127">
        <f t="shared" si="1"/>
        <v>41630</v>
      </c>
      <c r="B45" s="128">
        <f>IF('CALCULADORA TIPS Pesos E-14'!$F$10="Contractual",ROUND('Tabla de Amortizacion'!B46,8),IF('CALCULADORA TIPS Pesos E-14'!$F$10="6% (Medio)",ROUND('Tabla de Amortizacion'!D46,8),IF('CALCULADORA TIPS Pesos E-14'!$F$10="10% (Medio Alto)",ROUND('Tabla de Amortizacion'!F46,8),IF('CALCULADORA TIPS Pesos E-14'!$F$10="14% (Alto)",ROUND('Tabla de Amortizacion'!H46,8),IF('CALCULADORA TIPS Pesos E-14'!$F$10=20%,ROUND('Tabla de Amortizacion'!J46,8),ROUND('Tabla de Amortizacion'!L46,8))))))</f>
        <v>0.00981517</v>
      </c>
    </row>
    <row r="46" spans="1:2" ht="12.75">
      <c r="A46" s="127">
        <f t="shared" si="1"/>
        <v>41661</v>
      </c>
      <c r="B46" s="128">
        <f>IF('CALCULADORA TIPS Pesos E-14'!$F$10="Contractual",ROUND('Tabla de Amortizacion'!B47,8),IF('CALCULADORA TIPS Pesos E-14'!$F$10="6% (Medio)",ROUND('Tabla de Amortizacion'!D47,8),IF('CALCULADORA TIPS Pesos E-14'!$F$10="10% (Medio Alto)",ROUND('Tabla de Amortizacion'!F47,8),IF('CALCULADORA TIPS Pesos E-14'!$F$10="14% (Alto)",ROUND('Tabla de Amortizacion'!H47,8),IF('CALCULADORA TIPS Pesos E-14'!$F$10=20%,ROUND('Tabla de Amortizacion'!J47,8),ROUND('Tabla de Amortizacion'!L47,8))))))</f>
        <v>0.00749479</v>
      </c>
    </row>
    <row r="47" spans="1:2" ht="12.75">
      <c r="A47" s="127">
        <f t="shared" si="1"/>
        <v>41692</v>
      </c>
      <c r="B47" s="128">
        <f>IF('CALCULADORA TIPS Pesos E-14'!$F$10="Contractual",ROUND('Tabla de Amortizacion'!B48,8),IF('CALCULADORA TIPS Pesos E-14'!$F$10="6% (Medio)",ROUND('Tabla de Amortizacion'!D48,8),IF('CALCULADORA TIPS Pesos E-14'!$F$10="10% (Medio Alto)",ROUND('Tabla de Amortizacion'!F48,8),IF('CALCULADORA TIPS Pesos E-14'!$F$10="14% (Alto)",ROUND('Tabla de Amortizacion'!H48,8),IF('CALCULADORA TIPS Pesos E-14'!$F$10=20%,ROUND('Tabla de Amortizacion'!J48,8),ROUND('Tabla de Amortizacion'!L48,8))))))</f>
        <v>0.01086581</v>
      </c>
    </row>
    <row r="48" spans="1:2" ht="12.75">
      <c r="A48" s="127">
        <f t="shared" si="1"/>
        <v>41720</v>
      </c>
      <c r="B48" s="128">
        <f>IF('CALCULADORA TIPS Pesos E-14'!$F$10="Contractual",ROUND('Tabla de Amortizacion'!B49,8),IF('CALCULADORA TIPS Pesos E-14'!$F$10="6% (Medio)",ROUND('Tabla de Amortizacion'!D49,8),IF('CALCULADORA TIPS Pesos E-14'!$F$10="10% (Medio Alto)",ROUND('Tabla de Amortizacion'!F49,8),IF('CALCULADORA TIPS Pesos E-14'!$F$10="14% (Alto)",ROUND('Tabla de Amortizacion'!H49,8),IF('CALCULADORA TIPS Pesos E-14'!$F$10=20%,ROUND('Tabla de Amortizacion'!J49,8),ROUND('Tabla de Amortizacion'!L49,8))))))</f>
        <v>0.00865934</v>
      </c>
    </row>
    <row r="49" spans="1:2" ht="12.75">
      <c r="A49" s="127">
        <f t="shared" si="1"/>
        <v>41751</v>
      </c>
      <c r="B49" s="128">
        <f>IF('CALCULADORA TIPS Pesos E-14'!$F$10="Contractual",ROUND('Tabla de Amortizacion'!B50,8),IF('CALCULADORA TIPS Pesos E-14'!$F$10="6% (Medio)",ROUND('Tabla de Amortizacion'!D50,8),IF('CALCULADORA TIPS Pesos E-14'!$F$10="10% (Medio Alto)",ROUND('Tabla de Amortizacion'!F50,8),IF('CALCULADORA TIPS Pesos E-14'!$F$10="14% (Alto)",ROUND('Tabla de Amortizacion'!H50,8),IF('CALCULADORA TIPS Pesos E-14'!$F$10=20%,ROUND('Tabla de Amortizacion'!J50,8),ROUND('Tabla de Amortizacion'!L50,8))))))</f>
        <v>0.00589034</v>
      </c>
    </row>
    <row r="50" spans="1:2" ht="12.75">
      <c r="A50" s="127">
        <f t="shared" si="1"/>
        <v>41781</v>
      </c>
      <c r="B50" s="128">
        <f>IF('CALCULADORA TIPS Pesos E-14'!$F$10="Contractual",ROUND('Tabla de Amortizacion'!B51,8),IF('CALCULADORA TIPS Pesos E-14'!$F$10="6% (Medio)",ROUND('Tabla de Amortizacion'!D51,8),IF('CALCULADORA TIPS Pesos E-14'!$F$10="10% (Medio Alto)",ROUND('Tabla de Amortizacion'!F51,8),IF('CALCULADORA TIPS Pesos E-14'!$F$10="14% (Alto)",ROUND('Tabla de Amortizacion'!H51,8),IF('CALCULADORA TIPS Pesos E-14'!$F$10=20%,ROUND('Tabla de Amortizacion'!J51,8),ROUND('Tabla de Amortizacion'!L51,8))))))</f>
        <v>0.00539463</v>
      </c>
    </row>
    <row r="51" spans="1:2" ht="12.75">
      <c r="A51" s="127">
        <f t="shared" si="1"/>
        <v>41812</v>
      </c>
      <c r="B51" s="128">
        <f>IF('CALCULADORA TIPS Pesos E-14'!$F$10="Contractual",ROUND('Tabla de Amortizacion'!B52,8),IF('CALCULADORA TIPS Pesos E-14'!$F$10="6% (Medio)",ROUND('Tabla de Amortizacion'!D52,8),IF('CALCULADORA TIPS Pesos E-14'!$F$10="10% (Medio Alto)",ROUND('Tabla de Amortizacion'!F52,8),IF('CALCULADORA TIPS Pesos E-14'!$F$10="14% (Alto)",ROUND('Tabla de Amortizacion'!H52,8),IF('CALCULADORA TIPS Pesos E-14'!$F$10=20%,ROUND('Tabla de Amortizacion'!J52,8),ROUND('Tabla de Amortizacion'!L52,8))))))</f>
        <v>0.0055258</v>
      </c>
    </row>
    <row r="52" spans="1:2" ht="12.75">
      <c r="A52" s="127">
        <f t="shared" si="1"/>
        <v>41842</v>
      </c>
      <c r="B52" s="128">
        <f>IF('CALCULADORA TIPS Pesos E-14'!$F$10="Contractual",ROUND('Tabla de Amortizacion'!B53,8),IF('CALCULADORA TIPS Pesos E-14'!$F$10="6% (Medio)",ROUND('Tabla de Amortizacion'!D53,8),IF('CALCULADORA TIPS Pesos E-14'!$F$10="10% (Medio Alto)",ROUND('Tabla de Amortizacion'!F53,8),IF('CALCULADORA TIPS Pesos E-14'!$F$10="14% (Alto)",ROUND('Tabla de Amortizacion'!H53,8),IF('CALCULADORA TIPS Pesos E-14'!$F$10=20%,ROUND('Tabla de Amortizacion'!J53,8),ROUND('Tabla de Amortizacion'!L53,8))))))</f>
        <v>0.00615255</v>
      </c>
    </row>
    <row r="53" spans="1:2" ht="12.75">
      <c r="A53" s="127">
        <f t="shared" si="1"/>
        <v>41873</v>
      </c>
      <c r="B53" s="128">
        <f>IF('CALCULADORA TIPS Pesos E-14'!$F$10="Contractual",ROUND('Tabla de Amortizacion'!B54,8),IF('CALCULADORA TIPS Pesos E-14'!$F$10="6% (Medio)",ROUND('Tabla de Amortizacion'!D54,8),IF('CALCULADORA TIPS Pesos E-14'!$F$10="10% (Medio Alto)",ROUND('Tabla de Amortizacion'!F54,8),IF('CALCULADORA TIPS Pesos E-14'!$F$10="14% (Alto)",ROUND('Tabla de Amortizacion'!H54,8),IF('CALCULADORA TIPS Pesos E-14'!$F$10=20%,ROUND('Tabla de Amortizacion'!J54,8),ROUND('Tabla de Amortizacion'!L54,8))))))</f>
        <v>0.00730652</v>
      </c>
    </row>
    <row r="54" spans="1:2" ht="12.75">
      <c r="A54" s="127">
        <f t="shared" si="1"/>
        <v>41904</v>
      </c>
      <c r="B54" s="128">
        <f>IF('CALCULADORA TIPS Pesos E-14'!$F$10="Contractual",ROUND('Tabla de Amortizacion'!B55,8),IF('CALCULADORA TIPS Pesos E-14'!$F$10="6% (Medio)",ROUND('Tabla de Amortizacion'!D55,8),IF('CALCULADORA TIPS Pesos E-14'!$F$10="10% (Medio Alto)",ROUND('Tabla de Amortizacion'!F55,8),IF('CALCULADORA TIPS Pesos E-14'!$F$10="14% (Alto)",ROUND('Tabla de Amortizacion'!H55,8),IF('CALCULADORA TIPS Pesos E-14'!$F$10=20%,ROUND('Tabla de Amortizacion'!J55,8),ROUND('Tabla de Amortizacion'!L55,8))))))</f>
        <v>0.00520178</v>
      </c>
    </row>
    <row r="55" spans="1:2" ht="12.75">
      <c r="A55" s="127">
        <f t="shared" si="1"/>
        <v>41934</v>
      </c>
      <c r="B55" s="128">
        <f>IF('CALCULADORA TIPS Pesos E-14'!$F$10="Contractual",ROUND('Tabla de Amortizacion'!B56,8),IF('CALCULADORA TIPS Pesos E-14'!$F$10="6% (Medio)",ROUND('Tabla de Amortizacion'!D56,8),IF('CALCULADORA TIPS Pesos E-14'!$F$10="10% (Medio Alto)",ROUND('Tabla de Amortizacion'!F56,8),IF('CALCULADORA TIPS Pesos E-14'!$F$10="14% (Alto)",ROUND('Tabla de Amortizacion'!H56,8),IF('CALCULADORA TIPS Pesos E-14'!$F$10=20%,ROUND('Tabla de Amortizacion'!J56,8),ROUND('Tabla de Amortizacion'!L56,8))))))</f>
        <v>0.00488342</v>
      </c>
    </row>
    <row r="56" spans="1:2" ht="12.75">
      <c r="A56" s="127">
        <f t="shared" si="1"/>
        <v>41965</v>
      </c>
      <c r="B56" s="128">
        <f>IF('CALCULADORA TIPS Pesos E-14'!$F$10="Contractual",ROUND('Tabla de Amortizacion'!B57,8),IF('CALCULADORA TIPS Pesos E-14'!$F$10="6% (Medio)",ROUND('Tabla de Amortizacion'!D57,8),IF('CALCULADORA TIPS Pesos E-14'!$F$10="10% (Medio Alto)",ROUND('Tabla de Amortizacion'!F57,8),IF('CALCULADORA TIPS Pesos E-14'!$F$10="14% (Alto)",ROUND('Tabla de Amortizacion'!H57,8),IF('CALCULADORA TIPS Pesos E-14'!$F$10=20%,ROUND('Tabla de Amortizacion'!J57,8),ROUND('Tabla de Amortizacion'!L57,8))))))</f>
        <v>0.00519741</v>
      </c>
    </row>
    <row r="57" spans="1:2" ht="12.75">
      <c r="A57" s="127">
        <f t="shared" si="1"/>
        <v>41995</v>
      </c>
      <c r="B57" s="128">
        <f>IF('CALCULADORA TIPS Pesos E-14'!$F$10="Contractual",ROUND('Tabla de Amortizacion'!B58,8),IF('CALCULADORA TIPS Pesos E-14'!$F$10="6% (Medio)",ROUND('Tabla de Amortizacion'!D58,8),IF('CALCULADORA TIPS Pesos E-14'!$F$10="10% (Medio Alto)",ROUND('Tabla de Amortizacion'!F58,8),IF('CALCULADORA TIPS Pesos E-14'!$F$10="14% (Alto)",ROUND('Tabla de Amortizacion'!H58,8),IF('CALCULADORA TIPS Pesos E-14'!$F$10=20%,ROUND('Tabla de Amortizacion'!J58,8),ROUND('Tabla de Amortizacion'!L58,8))))))</f>
        <v>0.00237205</v>
      </c>
    </row>
    <row r="58" spans="1:2" ht="12.75">
      <c r="A58" s="127">
        <f t="shared" si="1"/>
        <v>42026</v>
      </c>
      <c r="B58" s="128">
        <f>IF('CALCULADORA TIPS Pesos E-14'!$F$10="Contractual",ROUND('Tabla de Amortizacion'!B59,8),IF('CALCULADORA TIPS Pesos E-14'!$F$10="6% (Medio)",ROUND('Tabla de Amortizacion'!D59,8),IF('CALCULADORA TIPS Pesos E-14'!$F$10="10% (Medio Alto)",ROUND('Tabla de Amortizacion'!F59,8),IF('CALCULADORA TIPS Pesos E-14'!$F$10="14% (Alto)",ROUND('Tabla de Amortizacion'!H59,8),IF('CALCULADORA TIPS Pesos E-14'!$F$10=20%,ROUND('Tabla de Amortizacion'!J59,8),ROUND('Tabla de Amortizacion'!L59,8))))))</f>
        <v>0</v>
      </c>
    </row>
    <row r="59" spans="1:2" ht="12.75">
      <c r="A59" s="127">
        <f t="shared" si="1"/>
        <v>42057</v>
      </c>
      <c r="B59" s="128">
        <f>IF('CALCULADORA TIPS Pesos E-14'!$F$10="Contractual",ROUND('Tabla de Amortizacion'!B60,8),IF('CALCULADORA TIPS Pesos E-14'!$F$10="6% (Medio)",ROUND('Tabla de Amortizacion'!D60,8),IF('CALCULADORA TIPS Pesos E-14'!$F$10="10% (Medio Alto)",ROUND('Tabla de Amortizacion'!F60,8),IF('CALCULADORA TIPS Pesos E-14'!$F$10="14% (Alto)",ROUND('Tabla de Amortizacion'!H60,8),IF('CALCULADORA TIPS Pesos E-14'!$F$10=20%,ROUND('Tabla de Amortizacion'!J60,8),ROUND('Tabla de Amortizacion'!L60,8))))))</f>
        <v>0</v>
      </c>
    </row>
    <row r="60" spans="1:2" ht="12.75">
      <c r="A60" s="127">
        <f t="shared" si="1"/>
        <v>42085</v>
      </c>
      <c r="B60" s="128">
        <f>IF('CALCULADORA TIPS Pesos E-14'!$F$10="Contractual",ROUND('Tabla de Amortizacion'!B61,8),IF('CALCULADORA TIPS Pesos E-14'!$F$10="6% (Medio)",ROUND('Tabla de Amortizacion'!D61,8),IF('CALCULADORA TIPS Pesos E-14'!$F$10="10% (Medio Alto)",ROUND('Tabla de Amortizacion'!F61,8),IF('CALCULADORA TIPS Pesos E-14'!$F$10="14% (Alto)",ROUND('Tabla de Amortizacion'!H61,8),IF('CALCULADORA TIPS Pesos E-14'!$F$10=20%,ROUND('Tabla de Amortizacion'!J61,8),ROUND('Tabla de Amortizacion'!L61,8))))))</f>
        <v>0</v>
      </c>
    </row>
    <row r="61" spans="1:2" ht="12.75">
      <c r="A61" s="127">
        <f t="shared" si="1"/>
        <v>42116</v>
      </c>
      <c r="B61" s="128">
        <f>IF('CALCULADORA TIPS Pesos E-14'!$F$10="Contractual",ROUND('Tabla de Amortizacion'!B62,8),IF('CALCULADORA TIPS Pesos E-14'!$F$10="6% (Medio)",ROUND('Tabla de Amortizacion'!D62,8),IF('CALCULADORA TIPS Pesos E-14'!$F$10="10% (Medio Alto)",ROUND('Tabla de Amortizacion'!F62,8),IF('CALCULADORA TIPS Pesos E-14'!$F$10="14% (Alto)",ROUND('Tabla de Amortizacion'!H62,8),IF('CALCULADORA TIPS Pesos E-14'!$F$10=20%,ROUND('Tabla de Amortizacion'!J62,8),ROUND('Tabla de Amortizacion'!L62,8))))))</f>
        <v>0</v>
      </c>
    </row>
    <row r="62" spans="1:2" ht="12.75">
      <c r="A62" s="127">
        <f t="shared" si="1"/>
        <v>42146</v>
      </c>
      <c r="B62" s="128">
        <f>IF('CALCULADORA TIPS Pesos E-14'!$F$10="Contractual",ROUND('Tabla de Amortizacion'!B63,8),IF('CALCULADORA TIPS Pesos E-14'!$F$10="6% (Medio)",ROUND('Tabla de Amortizacion'!D63,8),IF('CALCULADORA TIPS Pesos E-14'!$F$10="10% (Medio Alto)",ROUND('Tabla de Amortizacion'!F63,8),IF('CALCULADORA TIPS Pesos E-14'!$F$10="14% (Alto)",ROUND('Tabla de Amortizacion'!H63,8),IF('CALCULADORA TIPS Pesos E-14'!$F$10=20%,ROUND('Tabla de Amortizacion'!J63,8),ROUND('Tabla de Amortizacion'!L63,8))))))</f>
        <v>0</v>
      </c>
    </row>
    <row r="63" spans="1:2" ht="12.75">
      <c r="A63" s="127">
        <f t="shared" si="1"/>
        <v>42177</v>
      </c>
      <c r="B63" s="128">
        <f>IF('CALCULADORA TIPS Pesos E-14'!$F$10="Contractual",ROUND('Tabla de Amortizacion'!B64,8),IF('CALCULADORA TIPS Pesos E-14'!$F$10="6% (Medio)",ROUND('Tabla de Amortizacion'!D64,8),IF('CALCULADORA TIPS Pesos E-14'!$F$10="10% (Medio Alto)",ROUND('Tabla de Amortizacion'!F64,8),IF('CALCULADORA TIPS Pesos E-14'!$F$10="14% (Alto)",ROUND('Tabla de Amortizacion'!H64,8),IF('CALCULADORA TIPS Pesos E-14'!$F$10=20%,ROUND('Tabla de Amortizacion'!J64,8),ROUND('Tabla de Amortizacion'!L64,8))))))</f>
        <v>0</v>
      </c>
    </row>
    <row r="64" spans="1:2" ht="12.75">
      <c r="A64" s="127">
        <f t="shared" si="1"/>
        <v>42207</v>
      </c>
      <c r="B64" s="128">
        <f>IF('CALCULADORA TIPS Pesos E-14'!$F$10="Contractual",ROUND('Tabla de Amortizacion'!B65,8),IF('CALCULADORA TIPS Pesos E-14'!$F$10="6% (Medio)",ROUND('Tabla de Amortizacion'!D65,8),IF('CALCULADORA TIPS Pesos E-14'!$F$10="10% (Medio Alto)",ROUND('Tabla de Amortizacion'!F65,8),IF('CALCULADORA TIPS Pesos E-14'!$F$10="14% (Alto)",ROUND('Tabla de Amortizacion'!H65,8),IF('CALCULADORA TIPS Pesos E-14'!$F$10=20%,ROUND('Tabla de Amortizacion'!J65,8),ROUND('Tabla de Amortizacion'!L65,8))))))</f>
        <v>0</v>
      </c>
    </row>
    <row r="65" spans="1:2" ht="12.75">
      <c r="A65" s="127">
        <f t="shared" si="1"/>
        <v>42238</v>
      </c>
      <c r="B65" s="128">
        <f>IF('CALCULADORA TIPS Pesos E-14'!$F$10="Contractual",ROUND('Tabla de Amortizacion'!B66,8),IF('CALCULADORA TIPS Pesos E-14'!$F$10="6% (Medio)",ROUND('Tabla de Amortizacion'!D66,8),IF('CALCULADORA TIPS Pesos E-14'!$F$10="10% (Medio Alto)",ROUND('Tabla de Amortizacion'!F66,8),IF('CALCULADORA TIPS Pesos E-14'!$F$10="14% (Alto)",ROUND('Tabla de Amortizacion'!H66,8),IF('CALCULADORA TIPS Pesos E-14'!$F$10=20%,ROUND('Tabla de Amortizacion'!J66,8),ROUND('Tabla de Amortizacion'!L66,8))))))</f>
        <v>0</v>
      </c>
    </row>
    <row r="66" spans="1:2" ht="12.75">
      <c r="A66" s="127">
        <f t="shared" si="1"/>
        <v>42269</v>
      </c>
      <c r="B66" s="128">
        <f>IF('CALCULADORA TIPS Pesos E-14'!$F$10="Contractual",ROUND('Tabla de Amortizacion'!B67,8),IF('CALCULADORA TIPS Pesos E-14'!$F$10="6% (Medio)",ROUND('Tabla de Amortizacion'!D67,8),IF('CALCULADORA TIPS Pesos E-14'!$F$10="10% (Medio Alto)",ROUND('Tabla de Amortizacion'!F67,8),IF('CALCULADORA TIPS Pesos E-14'!$F$10="14% (Alto)",ROUND('Tabla de Amortizacion'!H67,8),IF('CALCULADORA TIPS Pesos E-14'!$F$10=20%,ROUND('Tabla de Amortizacion'!J67,8),ROUND('Tabla de Amortizacion'!L67,8))))))</f>
        <v>0</v>
      </c>
    </row>
    <row r="67" spans="1:2" ht="12.75">
      <c r="A67" s="127">
        <f aca="true" t="shared" si="2" ref="A67:A98">_XLL.FECHA.MES(A66,1)</f>
        <v>42299</v>
      </c>
      <c r="B67" s="128">
        <f>IF('CALCULADORA TIPS Pesos E-14'!$F$10="Contractual",ROUND('Tabla de Amortizacion'!B68,8),IF('CALCULADORA TIPS Pesos E-14'!$F$10="6% (Medio)",ROUND('Tabla de Amortizacion'!D68,8),IF('CALCULADORA TIPS Pesos E-14'!$F$10="10% (Medio Alto)",ROUND('Tabla de Amortizacion'!F68,8),IF('CALCULADORA TIPS Pesos E-14'!$F$10="14% (Alto)",ROUND('Tabla de Amortizacion'!H68,8),IF('CALCULADORA TIPS Pesos E-14'!$F$10=20%,ROUND('Tabla de Amortizacion'!J68,8),ROUND('Tabla de Amortizacion'!L68,8))))))</f>
        <v>0</v>
      </c>
    </row>
    <row r="68" spans="1:2" ht="12.75">
      <c r="A68" s="127">
        <f t="shared" si="2"/>
        <v>42330</v>
      </c>
      <c r="B68" s="128">
        <f>IF('CALCULADORA TIPS Pesos E-14'!$F$10="Contractual",ROUND('Tabla de Amortizacion'!B69,8),IF('CALCULADORA TIPS Pesos E-14'!$F$10="6% (Medio)",ROUND('Tabla de Amortizacion'!D69,8),IF('CALCULADORA TIPS Pesos E-14'!$F$10="10% (Medio Alto)",ROUND('Tabla de Amortizacion'!F69,8),IF('CALCULADORA TIPS Pesos E-14'!$F$10="14% (Alto)",ROUND('Tabla de Amortizacion'!H69,8),IF('CALCULADORA TIPS Pesos E-14'!$F$10=20%,ROUND('Tabla de Amortizacion'!J69,8),ROUND('Tabla de Amortizacion'!L69,8))))))</f>
        <v>0</v>
      </c>
    </row>
    <row r="69" spans="1:2" ht="12.75">
      <c r="A69" s="127">
        <f t="shared" si="2"/>
        <v>42360</v>
      </c>
      <c r="B69" s="128">
        <f>IF('CALCULADORA TIPS Pesos E-14'!$F$10="Contractual",ROUND('Tabla de Amortizacion'!B70,8),IF('CALCULADORA TIPS Pesos E-14'!$F$10="6% (Medio)",ROUND('Tabla de Amortizacion'!D70,8),IF('CALCULADORA TIPS Pesos E-14'!$F$10="10% (Medio Alto)",ROUND('Tabla de Amortizacion'!F70,8),IF('CALCULADORA TIPS Pesos E-14'!$F$10="14% (Alto)",ROUND('Tabla de Amortizacion'!H70,8),IF('CALCULADORA TIPS Pesos E-14'!$F$10=20%,ROUND('Tabla de Amortizacion'!J70,8),ROUND('Tabla de Amortizacion'!L70,8))))))</f>
        <v>0</v>
      </c>
    </row>
    <row r="70" spans="1:2" ht="12.75">
      <c r="A70" s="127">
        <f t="shared" si="2"/>
        <v>42391</v>
      </c>
      <c r="B70" s="128">
        <f>IF('CALCULADORA TIPS Pesos E-14'!$F$10="Contractual",ROUND('Tabla de Amortizacion'!B71,8),IF('CALCULADORA TIPS Pesos E-14'!$F$10="6% (Medio)",ROUND('Tabla de Amortizacion'!D71,8),IF('CALCULADORA TIPS Pesos E-14'!$F$10="10% (Medio Alto)",ROUND('Tabla de Amortizacion'!F71,8),IF('CALCULADORA TIPS Pesos E-14'!$F$10="14% (Alto)",ROUND('Tabla de Amortizacion'!H71,8),IF('CALCULADORA TIPS Pesos E-14'!$F$10=20%,ROUND('Tabla de Amortizacion'!J71,8),ROUND('Tabla de Amortizacion'!L71,8))))))</f>
        <v>0</v>
      </c>
    </row>
    <row r="71" spans="1:2" ht="12.75">
      <c r="A71" s="127">
        <f t="shared" si="2"/>
        <v>42422</v>
      </c>
      <c r="B71" s="128">
        <f>IF('CALCULADORA TIPS Pesos E-14'!$F$10="Contractual",ROUND('Tabla de Amortizacion'!B72,8),IF('CALCULADORA TIPS Pesos E-14'!$F$10="6% (Medio)",ROUND('Tabla de Amortizacion'!D72,8),IF('CALCULADORA TIPS Pesos E-14'!$F$10="10% (Medio Alto)",ROUND('Tabla de Amortizacion'!F72,8),IF('CALCULADORA TIPS Pesos E-14'!$F$10="14% (Alto)",ROUND('Tabla de Amortizacion'!H72,8),IF('CALCULADORA TIPS Pesos E-14'!$F$10=20%,ROUND('Tabla de Amortizacion'!J72,8),ROUND('Tabla de Amortizacion'!L72,8))))))</f>
        <v>0</v>
      </c>
    </row>
    <row r="72" spans="1:2" ht="12.75">
      <c r="A72" s="127">
        <f t="shared" si="2"/>
        <v>42451</v>
      </c>
      <c r="B72" s="128">
        <f>IF('CALCULADORA TIPS Pesos E-14'!$F$10="Contractual",ROUND('Tabla de Amortizacion'!B73,8),IF('CALCULADORA TIPS Pesos E-14'!$F$10="6% (Medio)",ROUND('Tabla de Amortizacion'!D73,8),IF('CALCULADORA TIPS Pesos E-14'!$F$10="10% (Medio Alto)",ROUND('Tabla de Amortizacion'!F73,8),IF('CALCULADORA TIPS Pesos E-14'!$F$10="14% (Alto)",ROUND('Tabla de Amortizacion'!H73,8),IF('CALCULADORA TIPS Pesos E-14'!$F$10=20%,ROUND('Tabla de Amortizacion'!J73,8),ROUND('Tabla de Amortizacion'!L73,8))))))</f>
        <v>0</v>
      </c>
    </row>
    <row r="73" spans="1:2" ht="12.75">
      <c r="A73" s="127">
        <f t="shared" si="2"/>
        <v>42482</v>
      </c>
      <c r="B73" s="128">
        <f>IF('CALCULADORA TIPS Pesos E-14'!$F$10="Contractual",ROUND('Tabla de Amortizacion'!B74,8),IF('CALCULADORA TIPS Pesos E-14'!$F$10="6% (Medio)",ROUND('Tabla de Amortizacion'!D74,8),IF('CALCULADORA TIPS Pesos E-14'!$F$10="10% (Medio Alto)",ROUND('Tabla de Amortizacion'!F74,8),IF('CALCULADORA TIPS Pesos E-14'!$F$10="14% (Alto)",ROUND('Tabla de Amortizacion'!H74,8),IF('CALCULADORA TIPS Pesos E-14'!$F$10=20%,ROUND('Tabla de Amortizacion'!J74,8),ROUND('Tabla de Amortizacion'!L74,8))))))</f>
        <v>0</v>
      </c>
    </row>
    <row r="74" spans="1:2" ht="12.75">
      <c r="A74" s="127">
        <f t="shared" si="2"/>
        <v>42512</v>
      </c>
      <c r="B74" s="128">
        <f>IF('CALCULADORA TIPS Pesos E-14'!$F$10="Contractual",ROUND('Tabla de Amortizacion'!B75,8),IF('CALCULADORA TIPS Pesos E-14'!$F$10="6% (Medio)",ROUND('Tabla de Amortizacion'!D75,8),IF('CALCULADORA TIPS Pesos E-14'!$F$10="10% (Medio Alto)",ROUND('Tabla de Amortizacion'!F75,8),IF('CALCULADORA TIPS Pesos E-14'!$F$10="14% (Alto)",ROUND('Tabla de Amortizacion'!H75,8),IF('CALCULADORA TIPS Pesos E-14'!$F$10=20%,ROUND('Tabla de Amortizacion'!J75,8),ROUND('Tabla de Amortizacion'!L75,8))))))</f>
        <v>0</v>
      </c>
    </row>
    <row r="75" spans="1:2" ht="12.75">
      <c r="A75" s="127">
        <f t="shared" si="2"/>
        <v>42543</v>
      </c>
      <c r="B75" s="128">
        <f>IF('CALCULADORA TIPS Pesos E-14'!$F$10="Contractual",ROUND('Tabla de Amortizacion'!B76,8),IF('CALCULADORA TIPS Pesos E-14'!$F$10="6% (Medio)",ROUND('Tabla de Amortizacion'!D76,8),IF('CALCULADORA TIPS Pesos E-14'!$F$10="10% (Medio Alto)",ROUND('Tabla de Amortizacion'!F76,8),IF('CALCULADORA TIPS Pesos E-14'!$F$10="14% (Alto)",ROUND('Tabla de Amortizacion'!H76,8),IF('CALCULADORA TIPS Pesos E-14'!$F$10=20%,ROUND('Tabla de Amortizacion'!J76,8),ROUND('Tabla de Amortizacion'!L76,8))))))</f>
        <v>0</v>
      </c>
    </row>
    <row r="76" spans="1:2" ht="12.75">
      <c r="A76" s="127">
        <f t="shared" si="2"/>
        <v>42573</v>
      </c>
      <c r="B76" s="128">
        <f>IF('CALCULADORA TIPS Pesos E-14'!$F$10="Contractual",ROUND('Tabla de Amortizacion'!B77,8),IF('CALCULADORA TIPS Pesos E-14'!$F$10="6% (Medio)",ROUND('Tabla de Amortizacion'!D77,8),IF('CALCULADORA TIPS Pesos E-14'!$F$10="10% (Medio Alto)",ROUND('Tabla de Amortizacion'!F77,8),IF('CALCULADORA TIPS Pesos E-14'!$F$10="14% (Alto)",ROUND('Tabla de Amortizacion'!H77,8),IF('CALCULADORA TIPS Pesos E-14'!$F$10=20%,ROUND('Tabla de Amortizacion'!J77,8),ROUND('Tabla de Amortizacion'!L77,8))))))</f>
        <v>0</v>
      </c>
    </row>
    <row r="77" spans="1:2" ht="12.75">
      <c r="A77" s="127">
        <f t="shared" si="2"/>
        <v>42604</v>
      </c>
      <c r="B77" s="128">
        <f>IF('CALCULADORA TIPS Pesos E-14'!$F$10="Contractual",ROUND('Tabla de Amortizacion'!B78,8),IF('CALCULADORA TIPS Pesos E-14'!$F$10="6% (Medio)",ROUND('Tabla de Amortizacion'!D78,8),IF('CALCULADORA TIPS Pesos E-14'!$F$10="10% (Medio Alto)",ROUND('Tabla de Amortizacion'!F78,8),IF('CALCULADORA TIPS Pesos E-14'!$F$10="14% (Alto)",ROUND('Tabla de Amortizacion'!H78,8),IF('CALCULADORA TIPS Pesos E-14'!$F$10=20%,ROUND('Tabla de Amortizacion'!J78,8),ROUND('Tabla de Amortizacion'!L78,8))))))</f>
        <v>0</v>
      </c>
    </row>
    <row r="78" spans="1:2" ht="12.75">
      <c r="A78" s="127">
        <f t="shared" si="2"/>
        <v>42635</v>
      </c>
      <c r="B78" s="128">
        <f>IF('CALCULADORA TIPS Pesos E-14'!$F$10="Contractual",ROUND('Tabla de Amortizacion'!B79,8),IF('CALCULADORA TIPS Pesos E-14'!$F$10="6% (Medio)",ROUND('Tabla de Amortizacion'!D79,8),IF('CALCULADORA TIPS Pesos E-14'!$F$10="10% (Medio Alto)",ROUND('Tabla de Amortizacion'!F79,8),IF('CALCULADORA TIPS Pesos E-14'!$F$10="14% (Alto)",ROUND('Tabla de Amortizacion'!H79,8),IF('CALCULADORA TIPS Pesos E-14'!$F$10=20%,ROUND('Tabla de Amortizacion'!J79,8),ROUND('Tabla de Amortizacion'!L79,8))))))</f>
        <v>0</v>
      </c>
    </row>
    <row r="79" spans="1:2" ht="12.75">
      <c r="A79" s="127">
        <f t="shared" si="2"/>
        <v>42665</v>
      </c>
      <c r="B79" s="128">
        <f>IF('CALCULADORA TIPS Pesos E-14'!$F$10="Contractual",ROUND('Tabla de Amortizacion'!B80,8),IF('CALCULADORA TIPS Pesos E-14'!$F$10="6% (Medio)",ROUND('Tabla de Amortizacion'!D80,8),IF('CALCULADORA TIPS Pesos E-14'!$F$10="10% (Medio Alto)",ROUND('Tabla de Amortizacion'!F80,8),IF('CALCULADORA TIPS Pesos E-14'!$F$10="14% (Alto)",ROUND('Tabla de Amortizacion'!H80,8),IF('CALCULADORA TIPS Pesos E-14'!$F$10=20%,ROUND('Tabla de Amortizacion'!J80,8),ROUND('Tabla de Amortizacion'!L80,8))))))</f>
        <v>0</v>
      </c>
    </row>
    <row r="80" spans="1:2" ht="12.75">
      <c r="A80" s="127">
        <f t="shared" si="2"/>
        <v>42696</v>
      </c>
      <c r="B80" s="128">
        <f>IF('CALCULADORA TIPS Pesos E-14'!$F$10="Contractual",ROUND('Tabla de Amortizacion'!B81,8),IF('CALCULADORA TIPS Pesos E-14'!$F$10="6% (Medio)",ROUND('Tabla de Amortizacion'!D81,8),IF('CALCULADORA TIPS Pesos E-14'!$F$10="10% (Medio Alto)",ROUND('Tabla de Amortizacion'!F81,8),IF('CALCULADORA TIPS Pesos E-14'!$F$10="14% (Alto)",ROUND('Tabla de Amortizacion'!H81,8),IF('CALCULADORA TIPS Pesos E-14'!$F$10=20%,ROUND('Tabla de Amortizacion'!J81,8),ROUND('Tabla de Amortizacion'!L81,8))))))</f>
        <v>0</v>
      </c>
    </row>
    <row r="81" spans="1:2" ht="12.75">
      <c r="A81" s="127">
        <f t="shared" si="2"/>
        <v>42726</v>
      </c>
      <c r="B81" s="128">
        <f>IF('CALCULADORA TIPS Pesos E-14'!$F$10="Contractual",ROUND('Tabla de Amortizacion'!B82,8),IF('CALCULADORA TIPS Pesos E-14'!$F$10="6% (Medio)",ROUND('Tabla de Amortizacion'!D82,8),IF('CALCULADORA TIPS Pesos E-14'!$F$10="10% (Medio Alto)",ROUND('Tabla de Amortizacion'!F82,8),IF('CALCULADORA TIPS Pesos E-14'!$F$10="14% (Alto)",ROUND('Tabla de Amortizacion'!H82,8),IF('CALCULADORA TIPS Pesos E-14'!$F$10=20%,ROUND('Tabla de Amortizacion'!J82,8),ROUND('Tabla de Amortizacion'!L82,8))))))</f>
        <v>0</v>
      </c>
    </row>
    <row r="82" spans="1:2" ht="12.75">
      <c r="A82" s="127">
        <f t="shared" si="2"/>
        <v>42757</v>
      </c>
      <c r="B82" s="128">
        <f>IF('CALCULADORA TIPS Pesos E-14'!$F$10="Contractual",ROUND('Tabla de Amortizacion'!B83,8),IF('CALCULADORA TIPS Pesos E-14'!$F$10="6% (Medio)",ROUND('Tabla de Amortizacion'!D83,8),IF('CALCULADORA TIPS Pesos E-14'!$F$10="10% (Medio Alto)",ROUND('Tabla de Amortizacion'!F83,8),IF('CALCULADORA TIPS Pesos E-14'!$F$10="14% (Alto)",ROUND('Tabla de Amortizacion'!H83,8),IF('CALCULADORA TIPS Pesos E-14'!$F$10=20%,ROUND('Tabla de Amortizacion'!J83,8),ROUND('Tabla de Amortizacion'!L83,8))))))</f>
        <v>0</v>
      </c>
    </row>
    <row r="83" spans="1:2" ht="12.75">
      <c r="A83" s="127">
        <f t="shared" si="2"/>
        <v>42788</v>
      </c>
      <c r="B83" s="128">
        <f>IF('CALCULADORA TIPS Pesos E-14'!$F$10="Contractual",ROUND('Tabla de Amortizacion'!B84,8),IF('CALCULADORA TIPS Pesos E-14'!$F$10="6% (Medio)",ROUND('Tabla de Amortizacion'!D84,8),IF('CALCULADORA TIPS Pesos E-14'!$F$10="10% (Medio Alto)",ROUND('Tabla de Amortizacion'!F84,8),IF('CALCULADORA TIPS Pesos E-14'!$F$10="14% (Alto)",ROUND('Tabla de Amortizacion'!H84,8),IF('CALCULADORA TIPS Pesos E-14'!$F$10=20%,ROUND('Tabla de Amortizacion'!J84,8),ROUND('Tabla de Amortizacion'!L84,8))))))</f>
        <v>0</v>
      </c>
    </row>
    <row r="84" spans="1:2" ht="12.75">
      <c r="A84" s="127">
        <f t="shared" si="2"/>
        <v>42816</v>
      </c>
      <c r="B84" s="128">
        <f>IF('CALCULADORA TIPS Pesos E-14'!$F$10="Contractual",ROUND('Tabla de Amortizacion'!B85,8),IF('CALCULADORA TIPS Pesos E-14'!$F$10="6% (Medio)",ROUND('Tabla de Amortizacion'!D85,8),IF('CALCULADORA TIPS Pesos E-14'!$F$10="10% (Medio Alto)",ROUND('Tabla de Amortizacion'!F85,8),IF('CALCULADORA TIPS Pesos E-14'!$F$10="14% (Alto)",ROUND('Tabla de Amortizacion'!H85,8),IF('CALCULADORA TIPS Pesos E-14'!$F$10=20%,ROUND('Tabla de Amortizacion'!J85,8),ROUND('Tabla de Amortizacion'!L85,8))))))</f>
        <v>0</v>
      </c>
    </row>
    <row r="85" spans="1:2" ht="12.75">
      <c r="A85" s="127">
        <f t="shared" si="2"/>
        <v>42847</v>
      </c>
      <c r="B85" s="128">
        <f>IF('CALCULADORA TIPS Pesos E-14'!$F$10="Contractual",ROUND('Tabla de Amortizacion'!B86,8),IF('CALCULADORA TIPS Pesos E-14'!$F$10="6% (Medio)",ROUND('Tabla de Amortizacion'!D86,8),IF('CALCULADORA TIPS Pesos E-14'!$F$10="10% (Medio Alto)",ROUND('Tabla de Amortizacion'!F86,8),IF('CALCULADORA TIPS Pesos E-14'!$F$10="14% (Alto)",ROUND('Tabla de Amortizacion'!H86,8),IF('CALCULADORA TIPS Pesos E-14'!$F$10=20%,ROUND('Tabla de Amortizacion'!J86,8),ROUND('Tabla de Amortizacion'!L86,8))))))</f>
        <v>0</v>
      </c>
    </row>
    <row r="86" spans="1:2" ht="12.75">
      <c r="A86" s="127">
        <f t="shared" si="2"/>
        <v>42877</v>
      </c>
      <c r="B86" s="128">
        <f>IF('CALCULADORA TIPS Pesos E-14'!$F$10="Contractual",ROUND('Tabla de Amortizacion'!B87,8),IF('CALCULADORA TIPS Pesos E-14'!$F$10="6% (Medio)",ROUND('Tabla de Amortizacion'!D87,8),IF('CALCULADORA TIPS Pesos E-14'!$F$10="10% (Medio Alto)",ROUND('Tabla de Amortizacion'!F87,8),IF('CALCULADORA TIPS Pesos E-14'!$F$10="14% (Alto)",ROUND('Tabla de Amortizacion'!H87,8),IF('CALCULADORA TIPS Pesos E-14'!$F$10=20%,ROUND('Tabla de Amortizacion'!J87,8),ROUND('Tabla de Amortizacion'!L87,8))))))</f>
        <v>0</v>
      </c>
    </row>
    <row r="87" spans="1:2" ht="12.75">
      <c r="A87" s="127">
        <f t="shared" si="2"/>
        <v>42908</v>
      </c>
      <c r="B87" s="128">
        <f>IF('CALCULADORA TIPS Pesos E-14'!$F$10="Contractual",ROUND('Tabla de Amortizacion'!B88,8),IF('CALCULADORA TIPS Pesos E-14'!$F$10="6% (Medio)",ROUND('Tabla de Amortizacion'!D88,8),IF('CALCULADORA TIPS Pesos E-14'!$F$10="10% (Medio Alto)",ROUND('Tabla de Amortizacion'!F88,8),IF('CALCULADORA TIPS Pesos E-14'!$F$10="14% (Alto)",ROUND('Tabla de Amortizacion'!H88,8),IF('CALCULADORA TIPS Pesos E-14'!$F$10=20%,ROUND('Tabla de Amortizacion'!J88,8),ROUND('Tabla de Amortizacion'!L88,8))))))</f>
        <v>0</v>
      </c>
    </row>
    <row r="88" spans="1:2" ht="12.75">
      <c r="A88" s="127">
        <f t="shared" si="2"/>
        <v>42938</v>
      </c>
      <c r="B88" s="128">
        <f>IF('CALCULADORA TIPS Pesos E-14'!$F$10="Contractual",ROUND('Tabla de Amortizacion'!B89,8),IF('CALCULADORA TIPS Pesos E-14'!$F$10="6% (Medio)",ROUND('Tabla de Amortizacion'!D89,8),IF('CALCULADORA TIPS Pesos E-14'!$F$10="10% (Medio Alto)",ROUND('Tabla de Amortizacion'!F89,8),IF('CALCULADORA TIPS Pesos E-14'!$F$10="14% (Alto)",ROUND('Tabla de Amortizacion'!H89,8),IF('CALCULADORA TIPS Pesos E-14'!$F$10=20%,ROUND('Tabla de Amortizacion'!J89,8),ROUND('Tabla de Amortizacion'!L89,8))))))</f>
        <v>0</v>
      </c>
    </row>
    <row r="89" spans="1:2" ht="12.75">
      <c r="A89" s="127">
        <f t="shared" si="2"/>
        <v>42969</v>
      </c>
      <c r="B89" s="128">
        <f>IF('CALCULADORA TIPS Pesos E-14'!$F$10="Contractual",ROUND('Tabla de Amortizacion'!B90,8),IF('CALCULADORA TIPS Pesos E-14'!$F$10="6% (Medio)",ROUND('Tabla de Amortizacion'!D90,8),IF('CALCULADORA TIPS Pesos E-14'!$F$10="10% (Medio Alto)",ROUND('Tabla de Amortizacion'!F90,8),IF('CALCULADORA TIPS Pesos E-14'!$F$10="14% (Alto)",ROUND('Tabla de Amortizacion'!H90,8),IF('CALCULADORA TIPS Pesos E-14'!$F$10=20%,ROUND('Tabla de Amortizacion'!J90,8),ROUND('Tabla de Amortizacion'!L90,8))))))</f>
        <v>0</v>
      </c>
    </row>
    <row r="90" spans="1:2" ht="12.75">
      <c r="A90" s="127">
        <f t="shared" si="2"/>
        <v>43000</v>
      </c>
      <c r="B90" s="128">
        <f>IF('CALCULADORA TIPS Pesos E-14'!$F$10="Contractual",ROUND('Tabla de Amortizacion'!B91,8),IF('CALCULADORA TIPS Pesos E-14'!$F$10="6% (Medio)",ROUND('Tabla de Amortizacion'!D91,8),IF('CALCULADORA TIPS Pesos E-14'!$F$10="10% (Medio Alto)",ROUND('Tabla de Amortizacion'!F91,8),IF('CALCULADORA TIPS Pesos E-14'!$F$10="14% (Alto)",ROUND('Tabla de Amortizacion'!H91,8),IF('CALCULADORA TIPS Pesos E-14'!$F$10=20%,ROUND('Tabla de Amortizacion'!J91,8),ROUND('Tabla de Amortizacion'!L91,8))))))</f>
        <v>0</v>
      </c>
    </row>
    <row r="91" spans="1:2" ht="12.75">
      <c r="A91" s="127">
        <f t="shared" si="2"/>
        <v>43030</v>
      </c>
      <c r="B91" s="128">
        <f>IF('CALCULADORA TIPS Pesos E-14'!$F$10="Contractual",ROUND('Tabla de Amortizacion'!B92,8),IF('CALCULADORA TIPS Pesos E-14'!$F$10="6% (Medio)",ROUND('Tabla de Amortizacion'!D92,8),IF('CALCULADORA TIPS Pesos E-14'!$F$10="10% (Medio Alto)",ROUND('Tabla de Amortizacion'!F92,8),IF('CALCULADORA TIPS Pesos E-14'!$F$10="14% (Alto)",ROUND('Tabla de Amortizacion'!H92,8),IF('CALCULADORA TIPS Pesos E-14'!$F$10=20%,ROUND('Tabla de Amortizacion'!J92,8),ROUND('Tabla de Amortizacion'!L92,8))))))</f>
        <v>0</v>
      </c>
    </row>
    <row r="92" spans="1:2" ht="12.75">
      <c r="A92" s="127">
        <f t="shared" si="2"/>
        <v>43061</v>
      </c>
      <c r="B92" s="128">
        <f>IF('CALCULADORA TIPS Pesos E-14'!$F$10="Contractual",ROUND('Tabla de Amortizacion'!B93,8),IF('CALCULADORA TIPS Pesos E-14'!$F$10="6% (Medio)",ROUND('Tabla de Amortizacion'!D93,8),IF('CALCULADORA TIPS Pesos E-14'!$F$10="10% (Medio Alto)",ROUND('Tabla de Amortizacion'!F93,8),IF('CALCULADORA TIPS Pesos E-14'!$F$10="14% (Alto)",ROUND('Tabla de Amortizacion'!H93,8),IF('CALCULADORA TIPS Pesos E-14'!$F$10=20%,ROUND('Tabla de Amortizacion'!J93,8),ROUND('Tabla de Amortizacion'!L93,8))))))</f>
        <v>0</v>
      </c>
    </row>
    <row r="93" spans="1:2" ht="12.75">
      <c r="A93" s="127">
        <f t="shared" si="2"/>
        <v>43091</v>
      </c>
      <c r="B93" s="128">
        <f>IF('CALCULADORA TIPS Pesos E-14'!$F$10="Contractual",ROUND('Tabla de Amortizacion'!B94,8),IF('CALCULADORA TIPS Pesos E-14'!$F$10="6% (Medio)",ROUND('Tabla de Amortizacion'!D94,8),IF('CALCULADORA TIPS Pesos E-14'!$F$10="10% (Medio Alto)",ROUND('Tabla de Amortizacion'!F94,8),IF('CALCULADORA TIPS Pesos E-14'!$F$10="14% (Alto)",ROUND('Tabla de Amortizacion'!H94,8),IF('CALCULADORA TIPS Pesos E-14'!$F$10=20%,ROUND('Tabla de Amortizacion'!J94,8),ROUND('Tabla de Amortizacion'!L94,8))))))</f>
        <v>0</v>
      </c>
    </row>
    <row r="94" spans="1:2" ht="12.75">
      <c r="A94" s="127">
        <f t="shared" si="2"/>
        <v>43122</v>
      </c>
      <c r="B94" s="128">
        <f>IF('CALCULADORA TIPS Pesos E-14'!$F$10="Contractual",ROUND('Tabla de Amortizacion'!B95,8),IF('CALCULADORA TIPS Pesos E-14'!$F$10="6% (Medio)",ROUND('Tabla de Amortizacion'!D95,8),IF('CALCULADORA TIPS Pesos E-14'!$F$10="10% (Medio Alto)",ROUND('Tabla de Amortizacion'!F95,8),IF('CALCULADORA TIPS Pesos E-14'!$F$10="14% (Alto)",ROUND('Tabla de Amortizacion'!H95,8),IF('CALCULADORA TIPS Pesos E-14'!$F$10=20%,ROUND('Tabla de Amortizacion'!J95,8),ROUND('Tabla de Amortizacion'!L95,8))))))</f>
        <v>0</v>
      </c>
    </row>
    <row r="95" spans="1:2" ht="12.75">
      <c r="A95" s="127">
        <f t="shared" si="2"/>
        <v>43153</v>
      </c>
      <c r="B95" s="128">
        <f>IF('CALCULADORA TIPS Pesos E-14'!$F$10="Contractual",ROUND('Tabla de Amortizacion'!B96,8),IF('CALCULADORA TIPS Pesos E-14'!$F$10="6% (Medio)",ROUND('Tabla de Amortizacion'!D96,8),IF('CALCULADORA TIPS Pesos E-14'!$F$10="10% (Medio Alto)",ROUND('Tabla de Amortizacion'!F96,8),IF('CALCULADORA TIPS Pesos E-14'!$F$10="14% (Alto)",ROUND('Tabla de Amortizacion'!H96,8),IF('CALCULADORA TIPS Pesos E-14'!$F$10=20%,ROUND('Tabla de Amortizacion'!J96,8),ROUND('Tabla de Amortizacion'!L96,8))))))</f>
        <v>0</v>
      </c>
    </row>
    <row r="96" spans="1:2" ht="12.75">
      <c r="A96" s="127">
        <f t="shared" si="2"/>
        <v>43181</v>
      </c>
      <c r="B96" s="128">
        <f>IF('CALCULADORA TIPS Pesos E-14'!$F$10="Contractual",ROUND('Tabla de Amortizacion'!B97,8),IF('CALCULADORA TIPS Pesos E-14'!$F$10="6% (Medio)",ROUND('Tabla de Amortizacion'!D97,8),IF('CALCULADORA TIPS Pesos E-14'!$F$10="10% (Medio Alto)",ROUND('Tabla de Amortizacion'!F97,8),IF('CALCULADORA TIPS Pesos E-14'!$F$10="14% (Alto)",ROUND('Tabla de Amortizacion'!H97,8),IF('CALCULADORA TIPS Pesos E-14'!$F$10=20%,ROUND('Tabla de Amortizacion'!J97,8),ROUND('Tabla de Amortizacion'!L97,8))))))</f>
        <v>0</v>
      </c>
    </row>
    <row r="97" spans="1:2" ht="12.75">
      <c r="A97" s="127">
        <f t="shared" si="2"/>
        <v>43212</v>
      </c>
      <c r="B97" s="128">
        <f>IF('CALCULADORA TIPS Pesos E-14'!$F$10="Contractual",ROUND('Tabla de Amortizacion'!B98,8),IF('CALCULADORA TIPS Pesos E-14'!$F$10="6% (Medio)",ROUND('Tabla de Amortizacion'!D98,8),IF('CALCULADORA TIPS Pesos E-14'!$F$10="10% (Medio Alto)",ROUND('Tabla de Amortizacion'!F98,8),IF('CALCULADORA TIPS Pesos E-14'!$F$10="14% (Alto)",ROUND('Tabla de Amortizacion'!H98,8),IF('CALCULADORA TIPS Pesos E-14'!$F$10=20%,ROUND('Tabla de Amortizacion'!J98,8),ROUND('Tabla de Amortizacion'!L98,8))))))</f>
        <v>0</v>
      </c>
    </row>
    <row r="98" spans="1:2" ht="12.75">
      <c r="A98" s="127">
        <f t="shared" si="2"/>
        <v>43242</v>
      </c>
      <c r="B98" s="128">
        <f>IF('CALCULADORA TIPS Pesos E-14'!$F$10="Contractual",ROUND('Tabla de Amortizacion'!B99,8),IF('CALCULADORA TIPS Pesos E-14'!$F$10="6% (Medio)",ROUND('Tabla de Amortizacion'!D99,8),IF('CALCULADORA TIPS Pesos E-14'!$F$10="10% (Medio Alto)",ROUND('Tabla de Amortizacion'!F99,8),IF('CALCULADORA TIPS Pesos E-14'!$F$10="14% (Alto)",ROUND('Tabla de Amortizacion'!H99,8),IF('CALCULADORA TIPS Pesos E-14'!$F$10=20%,ROUND('Tabla de Amortizacion'!J99,8),ROUND('Tabla de Amortizacion'!L99,8))))))</f>
        <v>0</v>
      </c>
    </row>
    <row r="99" spans="1:2" ht="12.75">
      <c r="A99" s="127">
        <f aca="true" t="shared" si="3" ref="A99:A130">_XLL.FECHA.MES(A98,1)</f>
        <v>43273</v>
      </c>
      <c r="B99" s="128">
        <f>IF('CALCULADORA TIPS Pesos E-14'!$F$10="Contractual",ROUND('Tabla de Amortizacion'!B100,8),IF('CALCULADORA TIPS Pesos E-14'!$F$10="6% (Medio)",ROUND('Tabla de Amortizacion'!D100,8),IF('CALCULADORA TIPS Pesos E-14'!$F$10="10% (Medio Alto)",ROUND('Tabla de Amortizacion'!F100,8),IF('CALCULADORA TIPS Pesos E-14'!$F$10="14% (Alto)",ROUND('Tabla de Amortizacion'!H100,8),IF('CALCULADORA TIPS Pesos E-14'!$F$10=20%,ROUND('Tabla de Amortizacion'!J100,8),ROUND('Tabla de Amortizacion'!L100,8))))))</f>
        <v>0</v>
      </c>
    </row>
    <row r="100" spans="1:2" ht="12.75">
      <c r="A100" s="127">
        <f t="shared" si="3"/>
        <v>43303</v>
      </c>
      <c r="B100" s="128">
        <f>IF('CALCULADORA TIPS Pesos E-14'!$F$10="Contractual",ROUND('Tabla de Amortizacion'!B101,8),IF('CALCULADORA TIPS Pesos E-14'!$F$10="6% (Medio)",ROUND('Tabla de Amortizacion'!D101,8),IF('CALCULADORA TIPS Pesos E-14'!$F$10="10% (Medio Alto)",ROUND('Tabla de Amortizacion'!F101,8),IF('CALCULADORA TIPS Pesos E-14'!$F$10="14% (Alto)",ROUND('Tabla de Amortizacion'!H101,8),IF('CALCULADORA TIPS Pesos E-14'!$F$10=20%,ROUND('Tabla de Amortizacion'!J101,8),ROUND('Tabla de Amortizacion'!L101,8))))))</f>
        <v>0</v>
      </c>
    </row>
    <row r="101" spans="1:2" ht="12.75">
      <c r="A101" s="127">
        <f t="shared" si="3"/>
        <v>43334</v>
      </c>
      <c r="B101" s="128">
        <f>IF('CALCULADORA TIPS Pesos E-14'!$F$10="Contractual",ROUND('Tabla de Amortizacion'!B102,8),IF('CALCULADORA TIPS Pesos E-14'!$F$10="6% (Medio)",ROUND('Tabla de Amortizacion'!D102,8),IF('CALCULADORA TIPS Pesos E-14'!$F$10="10% (Medio Alto)",ROUND('Tabla de Amortizacion'!F102,8),IF('CALCULADORA TIPS Pesos E-14'!$F$10="14% (Alto)",ROUND('Tabla de Amortizacion'!H102,8),IF('CALCULADORA TIPS Pesos E-14'!$F$10=20%,ROUND('Tabla de Amortizacion'!J102,8),ROUND('Tabla de Amortizacion'!L102,8))))))</f>
        <v>0</v>
      </c>
    </row>
    <row r="102" spans="1:2" ht="12.75">
      <c r="A102" s="127">
        <f t="shared" si="3"/>
        <v>43365</v>
      </c>
      <c r="B102" s="128">
        <f>IF('CALCULADORA TIPS Pesos E-14'!$F$10="Contractual",ROUND('Tabla de Amortizacion'!B103,8),IF('CALCULADORA TIPS Pesos E-14'!$F$10="6% (Medio)",ROUND('Tabla de Amortizacion'!D103,8),IF('CALCULADORA TIPS Pesos E-14'!$F$10="10% (Medio Alto)",ROUND('Tabla de Amortizacion'!F103,8),IF('CALCULADORA TIPS Pesos E-14'!$F$10="14% (Alto)",ROUND('Tabla de Amortizacion'!H103,8),IF('CALCULADORA TIPS Pesos E-14'!$F$10=20%,ROUND('Tabla de Amortizacion'!J103,8),ROUND('Tabla de Amortizacion'!L103,8))))))</f>
        <v>0</v>
      </c>
    </row>
    <row r="103" spans="1:2" ht="12.75">
      <c r="A103" s="127">
        <f t="shared" si="3"/>
        <v>43395</v>
      </c>
      <c r="B103" s="128">
        <f>IF('CALCULADORA TIPS Pesos E-14'!$F$10="Contractual",ROUND('Tabla de Amortizacion'!B104,8),IF('CALCULADORA TIPS Pesos E-14'!$F$10="6% (Medio)",ROUND('Tabla de Amortizacion'!D104,8),IF('CALCULADORA TIPS Pesos E-14'!$F$10="10% (Medio Alto)",ROUND('Tabla de Amortizacion'!F104,8),IF('CALCULADORA TIPS Pesos E-14'!$F$10="14% (Alto)",ROUND('Tabla de Amortizacion'!H104,8),IF('CALCULADORA TIPS Pesos E-14'!$F$10=20%,ROUND('Tabla de Amortizacion'!J104,8),ROUND('Tabla de Amortizacion'!L104,8))))))</f>
        <v>0</v>
      </c>
    </row>
    <row r="104" spans="1:2" ht="12.75">
      <c r="A104" s="127">
        <f t="shared" si="3"/>
        <v>43426</v>
      </c>
      <c r="B104" s="128">
        <f>IF('CALCULADORA TIPS Pesos E-14'!$F$10="Contractual",ROUND('Tabla de Amortizacion'!B105,8),IF('CALCULADORA TIPS Pesos E-14'!$F$10="6% (Medio)",ROUND('Tabla de Amortizacion'!D105,8),IF('CALCULADORA TIPS Pesos E-14'!$F$10="10% (Medio Alto)",ROUND('Tabla de Amortizacion'!F105,8),IF('CALCULADORA TIPS Pesos E-14'!$F$10="14% (Alto)",ROUND('Tabla de Amortizacion'!H105,8),IF('CALCULADORA TIPS Pesos E-14'!$F$10=20%,ROUND('Tabla de Amortizacion'!J105,8),ROUND('Tabla de Amortizacion'!L105,8))))))</f>
        <v>0</v>
      </c>
    </row>
    <row r="105" spans="1:2" ht="12.75">
      <c r="A105" s="127">
        <f t="shared" si="3"/>
        <v>43456</v>
      </c>
      <c r="B105" s="128">
        <f>IF('CALCULADORA TIPS Pesos E-14'!$F$10="Contractual",ROUND('Tabla de Amortizacion'!B106,8),IF('CALCULADORA TIPS Pesos E-14'!$F$10="6% (Medio)",ROUND('Tabla de Amortizacion'!D106,8),IF('CALCULADORA TIPS Pesos E-14'!$F$10="10% (Medio Alto)",ROUND('Tabla de Amortizacion'!F106,8),IF('CALCULADORA TIPS Pesos E-14'!$F$10="14% (Alto)",ROUND('Tabla de Amortizacion'!H106,8),IF('CALCULADORA TIPS Pesos E-14'!$F$10=20%,ROUND('Tabla de Amortizacion'!J106,8),ROUND('Tabla de Amortizacion'!L106,8))))))</f>
        <v>0</v>
      </c>
    </row>
    <row r="106" spans="1:2" ht="12.75">
      <c r="A106" s="127">
        <f t="shared" si="3"/>
        <v>43487</v>
      </c>
      <c r="B106" s="128">
        <f>IF('CALCULADORA TIPS Pesos E-14'!$F$10="Contractual",ROUND('Tabla de Amortizacion'!B107,8),IF('CALCULADORA TIPS Pesos E-14'!$F$10="6% (Medio)",ROUND('Tabla de Amortizacion'!D107,8),IF('CALCULADORA TIPS Pesos E-14'!$F$10="10% (Medio Alto)",ROUND('Tabla de Amortizacion'!F107,8),IF('CALCULADORA TIPS Pesos E-14'!$F$10="14% (Alto)",ROUND('Tabla de Amortizacion'!H107,8),IF('CALCULADORA TIPS Pesos E-14'!$F$10=20%,ROUND('Tabla de Amortizacion'!J107,8),ROUND('Tabla de Amortizacion'!L107,8))))))</f>
        <v>0</v>
      </c>
    </row>
    <row r="107" spans="1:2" ht="12.75">
      <c r="A107" s="127">
        <f t="shared" si="3"/>
        <v>43518</v>
      </c>
      <c r="B107" s="128">
        <f>IF('CALCULADORA TIPS Pesos E-14'!$F$10="Contractual",ROUND('Tabla de Amortizacion'!B108,8),IF('CALCULADORA TIPS Pesos E-14'!$F$10="6% (Medio)",ROUND('Tabla de Amortizacion'!D108,8),IF('CALCULADORA TIPS Pesos E-14'!$F$10="10% (Medio Alto)",ROUND('Tabla de Amortizacion'!F108,8),IF('CALCULADORA TIPS Pesos E-14'!$F$10="14% (Alto)",ROUND('Tabla de Amortizacion'!H108,8),IF('CALCULADORA TIPS Pesos E-14'!$F$10=20%,ROUND('Tabla de Amortizacion'!J108,8),ROUND('Tabla de Amortizacion'!L108,8))))))</f>
        <v>0</v>
      </c>
    </row>
    <row r="108" spans="1:2" ht="12.75">
      <c r="A108" s="127">
        <f t="shared" si="3"/>
        <v>43546</v>
      </c>
      <c r="B108" s="128">
        <f>IF('CALCULADORA TIPS Pesos E-14'!$F$10="Contractual",ROUND('Tabla de Amortizacion'!B109,8),IF('CALCULADORA TIPS Pesos E-14'!$F$10="6% (Medio)",ROUND('Tabla de Amortizacion'!D109,8),IF('CALCULADORA TIPS Pesos E-14'!$F$10="10% (Medio Alto)",ROUND('Tabla de Amortizacion'!F109,8),IF('CALCULADORA TIPS Pesos E-14'!$F$10="14% (Alto)",ROUND('Tabla de Amortizacion'!H109,8),IF('CALCULADORA TIPS Pesos E-14'!$F$10=20%,ROUND('Tabla de Amortizacion'!J109,8),ROUND('Tabla de Amortizacion'!L109,8))))))</f>
        <v>0</v>
      </c>
    </row>
    <row r="109" spans="1:2" ht="12.75">
      <c r="A109" s="127">
        <f t="shared" si="3"/>
        <v>43577</v>
      </c>
      <c r="B109" s="128">
        <f>IF('CALCULADORA TIPS Pesos E-14'!$F$10="Contractual",ROUND('Tabla de Amortizacion'!B110,8),IF('CALCULADORA TIPS Pesos E-14'!$F$10="6% (Medio)",ROUND('Tabla de Amortizacion'!D110,8),IF('CALCULADORA TIPS Pesos E-14'!$F$10="10% (Medio Alto)",ROUND('Tabla de Amortizacion'!F110,8),IF('CALCULADORA TIPS Pesos E-14'!$F$10="14% (Alto)",ROUND('Tabla de Amortizacion'!H110,8),IF('CALCULADORA TIPS Pesos E-14'!$F$10=20%,ROUND('Tabla de Amortizacion'!J110,8),ROUND('Tabla de Amortizacion'!L110,8))))))</f>
        <v>0</v>
      </c>
    </row>
    <row r="110" spans="1:2" ht="12.75">
      <c r="A110" s="127">
        <f t="shared" si="3"/>
        <v>43607</v>
      </c>
      <c r="B110" s="128">
        <f>IF('CALCULADORA TIPS Pesos E-14'!$F$10="Contractual",ROUND('Tabla de Amortizacion'!B111,8),IF('CALCULADORA TIPS Pesos E-14'!$F$10="6% (Medio)",ROUND('Tabla de Amortizacion'!D111,8),IF('CALCULADORA TIPS Pesos E-14'!$F$10="10% (Medio Alto)",ROUND('Tabla de Amortizacion'!F111,8),IF('CALCULADORA TIPS Pesos E-14'!$F$10="14% (Alto)",ROUND('Tabla de Amortizacion'!H111,8),IF('CALCULADORA TIPS Pesos E-14'!$F$10=20%,ROUND('Tabla de Amortizacion'!J111,8),ROUND('Tabla de Amortizacion'!L111,8))))))</f>
        <v>0</v>
      </c>
    </row>
    <row r="111" spans="1:2" ht="12.75">
      <c r="A111" s="127">
        <f t="shared" si="3"/>
        <v>43638</v>
      </c>
      <c r="B111" s="128">
        <f>IF('CALCULADORA TIPS Pesos E-14'!$F$10="Contractual",ROUND('Tabla de Amortizacion'!B112,8),IF('CALCULADORA TIPS Pesos E-14'!$F$10="6% (Medio)",ROUND('Tabla de Amortizacion'!D112,8),IF('CALCULADORA TIPS Pesos E-14'!$F$10="10% (Medio Alto)",ROUND('Tabla de Amortizacion'!F112,8),IF('CALCULADORA TIPS Pesos E-14'!$F$10="14% (Alto)",ROUND('Tabla de Amortizacion'!H112,8),IF('CALCULADORA TIPS Pesos E-14'!$F$10=20%,ROUND('Tabla de Amortizacion'!J112,8),ROUND('Tabla de Amortizacion'!L112,8))))))</f>
        <v>0</v>
      </c>
    </row>
    <row r="112" spans="1:2" ht="12.75">
      <c r="A112" s="127">
        <f t="shared" si="3"/>
        <v>43668</v>
      </c>
      <c r="B112" s="128">
        <f>IF('CALCULADORA TIPS Pesos E-14'!$F$10="Contractual",ROUND('Tabla de Amortizacion'!B113,8),IF('CALCULADORA TIPS Pesos E-14'!$F$10="6% (Medio)",ROUND('Tabla de Amortizacion'!D113,8),IF('CALCULADORA TIPS Pesos E-14'!$F$10="10% (Medio Alto)",ROUND('Tabla de Amortizacion'!F113,8),IF('CALCULADORA TIPS Pesos E-14'!$F$10="14% (Alto)",ROUND('Tabla de Amortizacion'!H113,8),IF('CALCULADORA TIPS Pesos E-14'!$F$10=20%,ROUND('Tabla de Amortizacion'!J113,8),ROUND('Tabla de Amortizacion'!L113,8))))))</f>
        <v>0</v>
      </c>
    </row>
    <row r="113" spans="1:2" ht="12.75">
      <c r="A113" s="127">
        <f t="shared" si="3"/>
        <v>43699</v>
      </c>
      <c r="B113" s="128">
        <f>IF('CALCULADORA TIPS Pesos E-14'!$F$10="Contractual",ROUND('Tabla de Amortizacion'!B114,8),IF('CALCULADORA TIPS Pesos E-14'!$F$10="6% (Medio)",ROUND('Tabla de Amortizacion'!D114,8),IF('CALCULADORA TIPS Pesos E-14'!$F$10="10% (Medio Alto)",ROUND('Tabla de Amortizacion'!F114,8),IF('CALCULADORA TIPS Pesos E-14'!$F$10="14% (Alto)",ROUND('Tabla de Amortizacion'!H114,8),IF('CALCULADORA TIPS Pesos E-14'!$F$10=20%,ROUND('Tabla de Amortizacion'!J114,8),ROUND('Tabla de Amortizacion'!L114,8))))))</f>
        <v>0</v>
      </c>
    </row>
    <row r="114" spans="1:2" ht="12.75">
      <c r="A114" s="127">
        <f t="shared" si="3"/>
        <v>43730</v>
      </c>
      <c r="B114" s="128">
        <f>IF('CALCULADORA TIPS Pesos E-14'!$F$10="Contractual",ROUND('Tabla de Amortizacion'!B115,8),IF('CALCULADORA TIPS Pesos E-14'!$F$10="6% (Medio)",ROUND('Tabla de Amortizacion'!D115,8),IF('CALCULADORA TIPS Pesos E-14'!$F$10="10% (Medio Alto)",ROUND('Tabla de Amortizacion'!F115,8),IF('CALCULADORA TIPS Pesos E-14'!$F$10="14% (Alto)",ROUND('Tabla de Amortizacion'!H115,8),IF('CALCULADORA TIPS Pesos E-14'!$F$10=20%,ROUND('Tabla de Amortizacion'!J115,8),ROUND('Tabla de Amortizacion'!L115,8))))))</f>
        <v>0</v>
      </c>
    </row>
    <row r="115" spans="1:2" ht="12.75">
      <c r="A115" s="127">
        <f t="shared" si="3"/>
        <v>43760</v>
      </c>
      <c r="B115" s="128">
        <f>IF('CALCULADORA TIPS Pesos E-14'!$F$10="Contractual",ROUND('Tabla de Amortizacion'!B116,8),IF('CALCULADORA TIPS Pesos E-14'!$F$10="6% (Medio)",ROUND('Tabla de Amortizacion'!D116,8),IF('CALCULADORA TIPS Pesos E-14'!$F$10="10% (Medio Alto)",ROUND('Tabla de Amortizacion'!F116,8),IF('CALCULADORA TIPS Pesos E-14'!$F$10="14% (Alto)",ROUND('Tabla de Amortizacion'!H116,8),IF('CALCULADORA TIPS Pesos E-14'!$F$10=20%,ROUND('Tabla de Amortizacion'!J116,8),ROUND('Tabla de Amortizacion'!L116,8))))))</f>
        <v>0</v>
      </c>
    </row>
    <row r="116" spans="1:2" ht="12.75">
      <c r="A116" s="127">
        <f t="shared" si="3"/>
        <v>43791</v>
      </c>
      <c r="B116" s="128">
        <f>IF('CALCULADORA TIPS Pesos E-14'!$F$10="Contractual",ROUND('Tabla de Amortizacion'!B117,8),IF('CALCULADORA TIPS Pesos E-14'!$F$10="6% (Medio)",ROUND('Tabla de Amortizacion'!D117,8),IF('CALCULADORA TIPS Pesos E-14'!$F$10="10% (Medio Alto)",ROUND('Tabla de Amortizacion'!F117,8),IF('CALCULADORA TIPS Pesos E-14'!$F$10="14% (Alto)",ROUND('Tabla de Amortizacion'!H117,8),IF('CALCULADORA TIPS Pesos E-14'!$F$10=20%,ROUND('Tabla de Amortizacion'!J117,8),ROUND('Tabla de Amortizacion'!L117,8))))))</f>
        <v>0</v>
      </c>
    </row>
    <row r="117" spans="1:2" ht="12.75">
      <c r="A117" s="127">
        <f t="shared" si="3"/>
        <v>43821</v>
      </c>
      <c r="B117" s="128">
        <f>IF('CALCULADORA TIPS Pesos E-14'!$F$10="Contractual",ROUND('Tabla de Amortizacion'!B118,8),IF('CALCULADORA TIPS Pesos E-14'!$F$10="6% (Medio)",ROUND('Tabla de Amortizacion'!D118,8),IF('CALCULADORA TIPS Pesos E-14'!$F$10="10% (Medio Alto)",ROUND('Tabla de Amortizacion'!F118,8),IF('CALCULADORA TIPS Pesos E-14'!$F$10="14% (Alto)",ROUND('Tabla de Amortizacion'!H118,8),IF('CALCULADORA TIPS Pesos E-14'!$F$10=20%,ROUND('Tabla de Amortizacion'!J118,8),ROUND('Tabla de Amortizacion'!L118,8))))))</f>
        <v>0</v>
      </c>
    </row>
    <row r="118" spans="1:2" ht="12.75">
      <c r="A118" s="127">
        <f t="shared" si="3"/>
        <v>43852</v>
      </c>
      <c r="B118" s="128">
        <f>IF('CALCULADORA TIPS Pesos E-14'!$F$10="Contractual",ROUND('Tabla de Amortizacion'!B119,8),IF('CALCULADORA TIPS Pesos E-14'!$F$10="6% (Medio)",ROUND('Tabla de Amortizacion'!D119,8),IF('CALCULADORA TIPS Pesos E-14'!$F$10="10% (Medio Alto)",ROUND('Tabla de Amortizacion'!F119,8),IF('CALCULADORA TIPS Pesos E-14'!$F$10="14% (Alto)",ROUND('Tabla de Amortizacion'!H119,8),IF('CALCULADORA TIPS Pesos E-14'!$F$10=20%,ROUND('Tabla de Amortizacion'!J119,8),ROUND('Tabla de Amortizacion'!L119,8))))))</f>
        <v>0</v>
      </c>
    </row>
    <row r="119" spans="1:2" ht="12.75">
      <c r="A119" s="127">
        <f t="shared" si="3"/>
        <v>43883</v>
      </c>
      <c r="B119" s="128">
        <f>IF('CALCULADORA TIPS Pesos E-14'!$F$10="Contractual",ROUND('Tabla de Amortizacion'!B120,8),IF('CALCULADORA TIPS Pesos E-14'!$F$10="6% (Medio)",ROUND('Tabla de Amortizacion'!D120,8),IF('CALCULADORA TIPS Pesos E-14'!$F$10="10% (Medio Alto)",ROUND('Tabla de Amortizacion'!F120,8),IF('CALCULADORA TIPS Pesos E-14'!$F$10="14% (Alto)",ROUND('Tabla de Amortizacion'!H120,8),IF('CALCULADORA TIPS Pesos E-14'!$F$10=20%,ROUND('Tabla de Amortizacion'!J120,8),ROUND('Tabla de Amortizacion'!L120,8))))))</f>
        <v>0</v>
      </c>
    </row>
    <row r="120" spans="1:2" ht="12.75">
      <c r="A120" s="127">
        <f t="shared" si="3"/>
        <v>43912</v>
      </c>
      <c r="B120" s="128">
        <f>IF('CALCULADORA TIPS Pesos E-14'!$F$10="Contractual",ROUND('Tabla de Amortizacion'!B121,8),IF('CALCULADORA TIPS Pesos E-14'!$F$10="6% (Medio)",ROUND('Tabla de Amortizacion'!D121,8),IF('CALCULADORA TIPS Pesos E-14'!$F$10="10% (Medio Alto)",ROUND('Tabla de Amortizacion'!F121,8),IF('CALCULADORA TIPS Pesos E-14'!$F$10="14% (Alto)",ROUND('Tabla de Amortizacion'!H121,8),IF('CALCULADORA TIPS Pesos E-14'!$F$10=20%,ROUND('Tabla de Amortizacion'!J121,8),ROUND('Tabla de Amortizacion'!L121,8))))))</f>
        <v>0</v>
      </c>
    </row>
    <row r="121" spans="1:2" ht="12.75">
      <c r="A121" s="127">
        <f t="shared" si="3"/>
        <v>43943</v>
      </c>
      <c r="B121" s="128">
        <f>IF('CALCULADORA TIPS Pesos E-14'!$F$10="Contractual",ROUND('Tabla de Amortizacion'!B122,8),IF('CALCULADORA TIPS Pesos E-14'!$F$10="6% (Medio)",ROUND('Tabla de Amortizacion'!D122,8),IF('CALCULADORA TIPS Pesos E-14'!$F$10="10% (Medio Alto)",ROUND('Tabla de Amortizacion'!F122,8),IF('CALCULADORA TIPS Pesos E-14'!$F$10="14% (Alto)",ROUND('Tabla de Amortizacion'!H122,8),IF('CALCULADORA TIPS Pesos E-14'!$F$10=20%,ROUND('Tabla de Amortizacion'!J122,8),ROUND('Tabla de Amortizacion'!L122,8))))))</f>
        <v>0</v>
      </c>
    </row>
    <row r="122" spans="1:2" ht="12.75">
      <c r="A122" s="127">
        <f t="shared" si="3"/>
        <v>43973</v>
      </c>
      <c r="B122" s="128">
        <f>IF('CALCULADORA TIPS Pesos E-14'!$F$10="Contractual",ROUND('Tabla de Amortizacion'!B123,8),IF('CALCULADORA TIPS Pesos E-14'!$F$10="6% (Medio)",ROUND('Tabla de Amortizacion'!D123,8),IF('CALCULADORA TIPS Pesos E-14'!$F$10="10% (Medio Alto)",ROUND('Tabla de Amortizacion'!F123,8),IF('CALCULADORA TIPS Pesos E-14'!$F$10="14% (Alto)",ROUND('Tabla de Amortizacion'!H123,8),IF('CALCULADORA TIPS Pesos E-14'!$F$10=20%,ROUND('Tabla de Amortizacion'!J123,8),ROUND('Tabla de Amortizacion'!L123,8))))))</f>
        <v>0</v>
      </c>
    </row>
    <row r="123" spans="1:2" ht="12.75">
      <c r="A123" s="127">
        <f t="shared" si="3"/>
        <v>44004</v>
      </c>
      <c r="B123" s="128">
        <f>IF('CALCULADORA TIPS Pesos E-14'!$F$10="Contractual",ROUND('Tabla de Amortizacion'!B124,8),IF('CALCULADORA TIPS Pesos E-14'!$F$10="6% (Medio)",ROUND('Tabla de Amortizacion'!D124,8),IF('CALCULADORA TIPS Pesos E-14'!$F$10="10% (Medio Alto)",ROUND('Tabla de Amortizacion'!F124,8),IF('CALCULADORA TIPS Pesos E-14'!$F$10="14% (Alto)",ROUND('Tabla de Amortizacion'!H124,8),IF('CALCULADORA TIPS Pesos E-14'!$F$10=20%,ROUND('Tabla de Amortizacion'!J124,8),ROUND('Tabla de Amortizacion'!L124,8))))))</f>
        <v>0</v>
      </c>
    </row>
    <row r="124" spans="1:2" ht="12.75">
      <c r="A124" s="127">
        <f t="shared" si="3"/>
        <v>44034</v>
      </c>
      <c r="B124" s="128">
        <f>IF('CALCULADORA TIPS Pesos E-14'!$F$10="Contractual",ROUND('Tabla de Amortizacion'!B125,8),IF('CALCULADORA TIPS Pesos E-14'!$F$10="6% (Medio)",ROUND('Tabla de Amortizacion'!D125,8),IF('CALCULADORA TIPS Pesos E-14'!$F$10="10% (Medio Alto)",ROUND('Tabla de Amortizacion'!F125,8),IF('CALCULADORA TIPS Pesos E-14'!$F$10="14% (Alto)",ROUND('Tabla de Amortizacion'!H125,8),IF('CALCULADORA TIPS Pesos E-14'!$F$10=20%,ROUND('Tabla de Amortizacion'!J125,8),ROUND('Tabla de Amortizacion'!L125,8))))))</f>
        <v>0</v>
      </c>
    </row>
    <row r="125" spans="1:2" ht="12.75">
      <c r="A125" s="127">
        <f t="shared" si="3"/>
        <v>44065</v>
      </c>
      <c r="B125" s="128">
        <f>IF('CALCULADORA TIPS Pesos E-14'!$F$10="Contractual",ROUND('Tabla de Amortizacion'!B126,8),IF('CALCULADORA TIPS Pesos E-14'!$F$10="6% (Medio)",ROUND('Tabla de Amortizacion'!D126,8),IF('CALCULADORA TIPS Pesos E-14'!$F$10="10% (Medio Alto)",ROUND('Tabla de Amortizacion'!F126,8),IF('CALCULADORA TIPS Pesos E-14'!$F$10="14% (Alto)",ROUND('Tabla de Amortizacion'!H126,8),IF('CALCULADORA TIPS Pesos E-14'!$F$10=20%,ROUND('Tabla de Amortizacion'!J126,8),ROUND('Tabla de Amortizacion'!L126,8))))))</f>
        <v>0</v>
      </c>
    </row>
    <row r="126" spans="1:2" ht="12.75">
      <c r="A126" s="127">
        <f t="shared" si="3"/>
        <v>44096</v>
      </c>
      <c r="B126" s="128">
        <f>IF('CALCULADORA TIPS Pesos E-14'!$F$10="Contractual",ROUND('Tabla de Amortizacion'!B127,8),IF('CALCULADORA TIPS Pesos E-14'!$F$10="6% (Medio)",ROUND('Tabla de Amortizacion'!D127,8),IF('CALCULADORA TIPS Pesos E-14'!$F$10="10% (Medio Alto)",ROUND('Tabla de Amortizacion'!F127,8),IF('CALCULADORA TIPS Pesos E-14'!$F$10="14% (Alto)",ROUND('Tabla de Amortizacion'!H127,8),IF('CALCULADORA TIPS Pesos E-14'!$F$10=20%,ROUND('Tabla de Amortizacion'!J127,8),ROUND('Tabla de Amortizacion'!L127,8))))))</f>
        <v>0</v>
      </c>
    </row>
    <row r="127" spans="1:2" ht="12.75">
      <c r="A127" s="127">
        <f t="shared" si="3"/>
        <v>44126</v>
      </c>
      <c r="B127" s="128">
        <f>IF('CALCULADORA TIPS Pesos E-14'!$F$10="Contractual",ROUND('Tabla de Amortizacion'!B128,8),IF('CALCULADORA TIPS Pesos E-14'!$F$10="6% (Medio)",ROUND('Tabla de Amortizacion'!D128,8),IF('CALCULADORA TIPS Pesos E-14'!$F$10="10% (Medio Alto)",ROUND('Tabla de Amortizacion'!F128,8),IF('CALCULADORA TIPS Pesos E-14'!$F$10="14% (Alto)",ROUND('Tabla de Amortizacion'!H128,8),IF('CALCULADORA TIPS Pesos E-14'!$F$10=20%,ROUND('Tabla de Amortizacion'!J128,8),ROUND('Tabla de Amortizacion'!L128,8))))))</f>
        <v>0</v>
      </c>
    </row>
    <row r="128" spans="1:2" ht="12.75">
      <c r="A128" s="127">
        <f t="shared" si="3"/>
        <v>44157</v>
      </c>
      <c r="B128" s="128">
        <f>IF('CALCULADORA TIPS Pesos E-14'!$F$10="Contractual",ROUND('Tabla de Amortizacion'!B129,8),IF('CALCULADORA TIPS Pesos E-14'!$F$10="6% (Medio)",ROUND('Tabla de Amortizacion'!D129,8),IF('CALCULADORA TIPS Pesos E-14'!$F$10="10% (Medio Alto)",ROUND('Tabla de Amortizacion'!F129,8),IF('CALCULADORA TIPS Pesos E-14'!$F$10="14% (Alto)",ROUND('Tabla de Amortizacion'!H129,8),IF('CALCULADORA TIPS Pesos E-14'!$F$10=20%,ROUND('Tabla de Amortizacion'!J129,8),ROUND('Tabla de Amortizacion'!L129,8))))))</f>
        <v>0</v>
      </c>
    </row>
    <row r="129" spans="1:2" ht="12.75">
      <c r="A129" s="127">
        <f t="shared" si="3"/>
        <v>44187</v>
      </c>
      <c r="B129" s="128">
        <f>IF('CALCULADORA TIPS Pesos E-14'!$F$10="Contractual",ROUND('Tabla de Amortizacion'!B130,8),IF('CALCULADORA TIPS Pesos E-14'!$F$10="6% (Medio)",ROUND('Tabla de Amortizacion'!D130,8),IF('CALCULADORA TIPS Pesos E-14'!$F$10="10% (Medio Alto)",ROUND('Tabla de Amortizacion'!F130,8),IF('CALCULADORA TIPS Pesos E-14'!$F$10="14% (Alto)",ROUND('Tabla de Amortizacion'!H130,8),IF('CALCULADORA TIPS Pesos E-14'!$F$10=20%,ROUND('Tabla de Amortizacion'!J130,8),ROUND('Tabla de Amortizacion'!L130,8))))))</f>
        <v>0</v>
      </c>
    </row>
    <row r="130" spans="1:2" ht="12.75">
      <c r="A130" s="127">
        <f t="shared" si="3"/>
        <v>44218</v>
      </c>
      <c r="B130" s="128">
        <f>IF('CALCULADORA TIPS Pesos E-14'!$F$10="Contractual",ROUND('Tabla de Amortizacion'!B131,8),IF('CALCULADORA TIPS Pesos E-14'!$F$10="6% (Medio)",ROUND('Tabla de Amortizacion'!D131,8),IF('CALCULADORA TIPS Pesos E-14'!$F$10="10% (Medio Alto)",ROUND('Tabla de Amortizacion'!F131,8),IF('CALCULADORA TIPS Pesos E-14'!$F$10="14% (Alto)",ROUND('Tabla de Amortizacion'!H131,8),IF('CALCULADORA TIPS Pesos E-14'!$F$10=20%,ROUND('Tabla de Amortizacion'!J131,8),ROUND('Tabla de Amortizacion'!L131,8))))))</f>
        <v>0</v>
      </c>
    </row>
    <row r="131" spans="1:2" ht="12.75">
      <c r="A131" s="127">
        <f aca="true" t="shared" si="4" ref="A131:A162">_XLL.FECHA.MES(A130,1)</f>
        <v>44249</v>
      </c>
      <c r="B131" s="128">
        <f>IF('CALCULADORA TIPS Pesos E-14'!$F$10="Contractual",ROUND('Tabla de Amortizacion'!B132,8),IF('CALCULADORA TIPS Pesos E-14'!$F$10="6% (Medio)",ROUND('Tabla de Amortizacion'!D132,8),IF('CALCULADORA TIPS Pesos E-14'!$F$10="10% (Medio Alto)",ROUND('Tabla de Amortizacion'!F132,8),IF('CALCULADORA TIPS Pesos E-14'!$F$10="14% (Alto)",ROUND('Tabla de Amortizacion'!H132,8),IF('CALCULADORA TIPS Pesos E-14'!$F$10=20%,ROUND('Tabla de Amortizacion'!J132,8),ROUND('Tabla de Amortizacion'!L132,8))))))</f>
        <v>0</v>
      </c>
    </row>
    <row r="132" spans="1:2" ht="12.75">
      <c r="A132" s="127">
        <f t="shared" si="4"/>
        <v>44277</v>
      </c>
      <c r="B132" s="128">
        <f>IF('CALCULADORA TIPS Pesos E-14'!$F$10="Contractual",ROUND('Tabla de Amortizacion'!B133,8),IF('CALCULADORA TIPS Pesos E-14'!$F$10="6% (Medio)",ROUND('Tabla de Amortizacion'!D133,8),IF('CALCULADORA TIPS Pesos E-14'!$F$10="10% (Medio Alto)",ROUND('Tabla de Amortizacion'!F133,8),IF('CALCULADORA TIPS Pesos E-14'!$F$10="14% (Alto)",ROUND('Tabla de Amortizacion'!H133,8),IF('CALCULADORA TIPS Pesos E-14'!$F$10=20%,ROUND('Tabla de Amortizacion'!J133,8),ROUND('Tabla de Amortizacion'!L133,8))))))</f>
        <v>0</v>
      </c>
    </row>
    <row r="133" spans="1:2" ht="12.75">
      <c r="A133" s="127">
        <f t="shared" si="4"/>
        <v>44308</v>
      </c>
      <c r="B133" s="128">
        <f>IF('CALCULADORA TIPS Pesos E-14'!$F$10="Contractual",ROUND('Tabla de Amortizacion'!B134,8),IF('CALCULADORA TIPS Pesos E-14'!$F$10="6% (Medio)",ROUND('Tabla de Amortizacion'!D134,8),IF('CALCULADORA TIPS Pesos E-14'!$F$10="10% (Medio Alto)",ROUND('Tabla de Amortizacion'!F134,8),IF('CALCULADORA TIPS Pesos E-14'!$F$10="14% (Alto)",ROUND('Tabla de Amortizacion'!H134,8),IF('CALCULADORA TIPS Pesos E-14'!$F$10=20%,ROUND('Tabla de Amortizacion'!J134,8),ROUND('Tabla de Amortizacion'!L134,8))))))</f>
        <v>0</v>
      </c>
    </row>
    <row r="134" spans="1:2" ht="12.75">
      <c r="A134" s="127">
        <f t="shared" si="4"/>
        <v>44338</v>
      </c>
      <c r="B134" s="128">
        <f>IF('CALCULADORA TIPS Pesos E-14'!$F$10="Contractual",ROUND('Tabla de Amortizacion'!B135,8),IF('CALCULADORA TIPS Pesos E-14'!$F$10="6% (Medio)",ROUND('Tabla de Amortizacion'!D135,8),IF('CALCULADORA TIPS Pesos E-14'!$F$10="10% (Medio Alto)",ROUND('Tabla de Amortizacion'!F135,8),IF('CALCULADORA TIPS Pesos E-14'!$F$10="14% (Alto)",ROUND('Tabla de Amortizacion'!H135,8),IF('CALCULADORA TIPS Pesos E-14'!$F$10=20%,ROUND('Tabla de Amortizacion'!J135,8),ROUND('Tabla de Amortizacion'!L135,8))))))</f>
        <v>0</v>
      </c>
    </row>
    <row r="135" spans="1:2" ht="12.75">
      <c r="A135" s="127">
        <f t="shared" si="4"/>
        <v>44369</v>
      </c>
      <c r="B135" s="128">
        <f>IF('CALCULADORA TIPS Pesos E-14'!$F$10="Contractual",ROUND('Tabla de Amortizacion'!B136,8),IF('CALCULADORA TIPS Pesos E-14'!$F$10="6% (Medio)",ROUND('Tabla de Amortizacion'!D136,8),IF('CALCULADORA TIPS Pesos E-14'!$F$10="10% (Medio Alto)",ROUND('Tabla de Amortizacion'!F136,8),IF('CALCULADORA TIPS Pesos E-14'!$F$10="14% (Alto)",ROUND('Tabla de Amortizacion'!H136,8),IF('CALCULADORA TIPS Pesos E-14'!$F$10=20%,ROUND('Tabla de Amortizacion'!J136,8),ROUND('Tabla de Amortizacion'!L136,8))))))</f>
        <v>0</v>
      </c>
    </row>
    <row r="136" spans="1:2" ht="12.75">
      <c r="A136" s="127">
        <f t="shared" si="4"/>
        <v>44399</v>
      </c>
      <c r="B136" s="128">
        <f>IF('CALCULADORA TIPS Pesos E-14'!$F$10="Contractual",ROUND('Tabla de Amortizacion'!B137,8),IF('CALCULADORA TIPS Pesos E-14'!$F$10="6% (Medio)",ROUND('Tabla de Amortizacion'!D137,8),IF('CALCULADORA TIPS Pesos E-14'!$F$10="10% (Medio Alto)",ROUND('Tabla de Amortizacion'!F137,8),IF('CALCULADORA TIPS Pesos E-14'!$F$10="14% (Alto)",ROUND('Tabla de Amortizacion'!H137,8),IF('CALCULADORA TIPS Pesos E-14'!$F$10=20%,ROUND('Tabla de Amortizacion'!J137,8),ROUND('Tabla de Amortizacion'!L137,8))))))</f>
        <v>0</v>
      </c>
    </row>
    <row r="137" spans="1:2" ht="12.75">
      <c r="A137" s="127">
        <f t="shared" si="4"/>
        <v>44430</v>
      </c>
      <c r="B137" s="128">
        <f>IF('CALCULADORA TIPS Pesos E-14'!$F$10="Contractual",ROUND('Tabla de Amortizacion'!B138,8),IF('CALCULADORA TIPS Pesos E-14'!$F$10="6% (Medio)",ROUND('Tabla de Amortizacion'!D138,8),IF('CALCULADORA TIPS Pesos E-14'!$F$10="10% (Medio Alto)",ROUND('Tabla de Amortizacion'!F138,8),IF('CALCULADORA TIPS Pesos E-14'!$F$10="14% (Alto)",ROUND('Tabla de Amortizacion'!H138,8),IF('CALCULADORA TIPS Pesos E-14'!$F$10=20%,ROUND('Tabla de Amortizacion'!J138,8),ROUND('Tabla de Amortizacion'!L138,8))))))</f>
        <v>0</v>
      </c>
    </row>
    <row r="138" spans="1:2" ht="12.75">
      <c r="A138" s="127">
        <f t="shared" si="4"/>
        <v>44461</v>
      </c>
      <c r="B138" s="128">
        <f>IF('CALCULADORA TIPS Pesos E-14'!$F$10="Contractual",ROUND('Tabla de Amortizacion'!B139,8),IF('CALCULADORA TIPS Pesos E-14'!$F$10="6% (Medio)",ROUND('Tabla de Amortizacion'!D139,8),IF('CALCULADORA TIPS Pesos E-14'!$F$10="10% (Medio Alto)",ROUND('Tabla de Amortizacion'!F139,8),IF('CALCULADORA TIPS Pesos E-14'!$F$10="14% (Alto)",ROUND('Tabla de Amortizacion'!H139,8),IF('CALCULADORA TIPS Pesos E-14'!$F$10=20%,ROUND('Tabla de Amortizacion'!J139,8),ROUND('Tabla de Amortizacion'!L139,8))))))</f>
        <v>0</v>
      </c>
    </row>
    <row r="139" spans="1:2" ht="12.75">
      <c r="A139" s="127">
        <f t="shared" si="4"/>
        <v>44491</v>
      </c>
      <c r="B139" s="128">
        <f>IF('CALCULADORA TIPS Pesos E-14'!$F$10="Contractual",ROUND('Tabla de Amortizacion'!B140,8),IF('CALCULADORA TIPS Pesos E-14'!$F$10="6% (Medio)",ROUND('Tabla de Amortizacion'!D140,8),IF('CALCULADORA TIPS Pesos E-14'!$F$10="10% (Medio Alto)",ROUND('Tabla de Amortizacion'!F140,8),IF('CALCULADORA TIPS Pesos E-14'!$F$10="14% (Alto)",ROUND('Tabla de Amortizacion'!H140,8),IF('CALCULADORA TIPS Pesos E-14'!$F$10=20%,ROUND('Tabla de Amortizacion'!J140,8),ROUND('Tabla de Amortizacion'!L140,8))))))</f>
        <v>0</v>
      </c>
    </row>
    <row r="140" spans="1:2" ht="12.75">
      <c r="A140" s="127">
        <f t="shared" si="4"/>
        <v>44522</v>
      </c>
      <c r="B140" s="128">
        <f>IF('CALCULADORA TIPS Pesos E-14'!$F$10="Contractual",ROUND('Tabla de Amortizacion'!B141,8),IF('CALCULADORA TIPS Pesos E-14'!$F$10="6% (Medio)",ROUND('Tabla de Amortizacion'!D141,8),IF('CALCULADORA TIPS Pesos E-14'!$F$10="10% (Medio Alto)",ROUND('Tabla de Amortizacion'!F141,8),IF('CALCULADORA TIPS Pesos E-14'!$F$10="14% (Alto)",ROUND('Tabla de Amortizacion'!H141,8),IF('CALCULADORA TIPS Pesos E-14'!$F$10=20%,ROUND('Tabla de Amortizacion'!J141,8),ROUND('Tabla de Amortizacion'!L141,8))))))</f>
        <v>0</v>
      </c>
    </row>
    <row r="141" spans="1:2" ht="12.75">
      <c r="A141" s="127">
        <f t="shared" si="4"/>
        <v>44552</v>
      </c>
      <c r="B141" s="128">
        <f>IF('CALCULADORA TIPS Pesos E-14'!$F$10="Contractual",ROUND('Tabla de Amortizacion'!B142,8),IF('CALCULADORA TIPS Pesos E-14'!$F$10="6% (Medio)",ROUND('Tabla de Amortizacion'!D142,8),IF('CALCULADORA TIPS Pesos E-14'!$F$10="10% (Medio Alto)",ROUND('Tabla de Amortizacion'!F142,8),IF('CALCULADORA TIPS Pesos E-14'!$F$10="14% (Alto)",ROUND('Tabla de Amortizacion'!H142,8),IF('CALCULADORA TIPS Pesos E-14'!$F$10=20%,ROUND('Tabla de Amortizacion'!J142,8),ROUND('Tabla de Amortizacion'!L142,8))))))</f>
        <v>0</v>
      </c>
    </row>
    <row r="142" spans="1:2" ht="12.75">
      <c r="A142" s="127">
        <f t="shared" si="4"/>
        <v>44583</v>
      </c>
      <c r="B142" s="128">
        <f>IF('CALCULADORA TIPS Pesos E-14'!$F$10="Contractual",ROUND('Tabla de Amortizacion'!B143,8),IF('CALCULADORA TIPS Pesos E-14'!$F$10="6% (Medio)",ROUND('Tabla de Amortizacion'!D143,8),IF('CALCULADORA TIPS Pesos E-14'!$F$10="10% (Medio Alto)",ROUND('Tabla de Amortizacion'!F143,8),IF('CALCULADORA TIPS Pesos E-14'!$F$10="14% (Alto)",ROUND('Tabla de Amortizacion'!H143,8),IF('CALCULADORA TIPS Pesos E-14'!$F$10=20%,ROUND('Tabla de Amortizacion'!J143,8),ROUND('Tabla de Amortizacion'!L143,8))))))</f>
        <v>0</v>
      </c>
    </row>
    <row r="143" spans="1:2" ht="12.75">
      <c r="A143" s="127">
        <f t="shared" si="4"/>
        <v>44614</v>
      </c>
      <c r="B143" s="128">
        <f>IF('CALCULADORA TIPS Pesos E-14'!$F$10="Contractual",ROUND('Tabla de Amortizacion'!B144,8),IF('CALCULADORA TIPS Pesos E-14'!$F$10="6% (Medio)",ROUND('Tabla de Amortizacion'!D144,8),IF('CALCULADORA TIPS Pesos E-14'!$F$10="10% (Medio Alto)",ROUND('Tabla de Amortizacion'!F144,8),IF('CALCULADORA TIPS Pesos E-14'!$F$10="14% (Alto)",ROUND('Tabla de Amortizacion'!H144,8),IF('CALCULADORA TIPS Pesos E-14'!$F$10=20%,ROUND('Tabla de Amortizacion'!J144,8),ROUND('Tabla de Amortizacion'!L144,8))))))</f>
        <v>0</v>
      </c>
    </row>
    <row r="144" spans="1:2" ht="12.75">
      <c r="A144" s="127">
        <f t="shared" si="4"/>
        <v>44642</v>
      </c>
      <c r="B144" s="128">
        <f>IF('CALCULADORA TIPS Pesos E-14'!$F$10="Contractual",ROUND('Tabla de Amortizacion'!B145,8),IF('CALCULADORA TIPS Pesos E-14'!$F$10="6% (Medio)",ROUND('Tabla de Amortizacion'!D145,8),IF('CALCULADORA TIPS Pesos E-14'!$F$10="10% (Medio Alto)",ROUND('Tabla de Amortizacion'!F145,8),IF('CALCULADORA TIPS Pesos E-14'!$F$10="14% (Alto)",ROUND('Tabla de Amortizacion'!H145,8),IF('CALCULADORA TIPS Pesos E-14'!$F$10=20%,ROUND('Tabla de Amortizacion'!J145,8),ROUND('Tabla de Amortizacion'!L145,8))))))</f>
        <v>0</v>
      </c>
    </row>
    <row r="145" spans="1:2" ht="12.75">
      <c r="A145" s="127">
        <f t="shared" si="4"/>
        <v>44673</v>
      </c>
      <c r="B145" s="128">
        <f>IF('CALCULADORA TIPS Pesos E-14'!$F$10="Contractual",ROUND('Tabla de Amortizacion'!B146,8),IF('CALCULADORA TIPS Pesos E-14'!$F$10="6% (Medio)",ROUND('Tabla de Amortizacion'!D146,8),IF('CALCULADORA TIPS Pesos E-14'!$F$10="10% (Medio Alto)",ROUND('Tabla de Amortizacion'!F146,8),IF('CALCULADORA TIPS Pesos E-14'!$F$10="14% (Alto)",ROUND('Tabla de Amortizacion'!H146,8),IF('CALCULADORA TIPS Pesos E-14'!$F$10=20%,ROUND('Tabla de Amortizacion'!J146,8),ROUND('Tabla de Amortizacion'!L146,8))))))</f>
        <v>0</v>
      </c>
    </row>
    <row r="146" spans="1:2" ht="12.75">
      <c r="A146" s="127">
        <f t="shared" si="4"/>
        <v>44703</v>
      </c>
      <c r="B146" s="128">
        <f>IF('CALCULADORA TIPS Pesos E-14'!$F$10="Contractual",ROUND('Tabla de Amortizacion'!B147,8),IF('CALCULADORA TIPS Pesos E-14'!$F$10="6% (Medio)",ROUND('Tabla de Amortizacion'!D147,8),IF('CALCULADORA TIPS Pesos E-14'!$F$10="10% (Medio Alto)",ROUND('Tabla de Amortizacion'!F147,8),IF('CALCULADORA TIPS Pesos E-14'!$F$10="14% (Alto)",ROUND('Tabla de Amortizacion'!H147,8),IF('CALCULADORA TIPS Pesos E-14'!$F$10=20%,ROUND('Tabla de Amortizacion'!J147,8),ROUND('Tabla de Amortizacion'!L147,8))))))</f>
        <v>0</v>
      </c>
    </row>
    <row r="147" spans="1:2" ht="12.75">
      <c r="A147" s="127">
        <f t="shared" si="4"/>
        <v>44734</v>
      </c>
      <c r="B147" s="128">
        <f>IF('CALCULADORA TIPS Pesos E-14'!$F$10="Contractual",ROUND('Tabla de Amortizacion'!B148,8),IF('CALCULADORA TIPS Pesos E-14'!$F$10="6% (Medio)",ROUND('Tabla de Amortizacion'!D148,8),IF('CALCULADORA TIPS Pesos E-14'!$F$10="10% (Medio Alto)",ROUND('Tabla de Amortizacion'!F148,8),IF('CALCULADORA TIPS Pesos E-14'!$F$10="14% (Alto)",ROUND('Tabla de Amortizacion'!H148,8),IF('CALCULADORA TIPS Pesos E-14'!$F$10=20%,ROUND('Tabla de Amortizacion'!J148,8),ROUND('Tabla de Amortizacion'!L148,8))))))</f>
        <v>0</v>
      </c>
    </row>
    <row r="148" spans="1:2" ht="12.75">
      <c r="A148" s="127">
        <f t="shared" si="4"/>
        <v>44764</v>
      </c>
      <c r="B148" s="128">
        <f>IF('CALCULADORA TIPS Pesos E-14'!$F$10="Contractual",ROUND('Tabla de Amortizacion'!B149,8),IF('CALCULADORA TIPS Pesos E-14'!$F$10="6% (Medio)",ROUND('Tabla de Amortizacion'!D149,8),IF('CALCULADORA TIPS Pesos E-14'!$F$10="10% (Medio Alto)",ROUND('Tabla de Amortizacion'!F149,8),IF('CALCULADORA TIPS Pesos E-14'!$F$10="14% (Alto)",ROUND('Tabla de Amortizacion'!H149,8),IF('CALCULADORA TIPS Pesos E-14'!$F$10=20%,ROUND('Tabla de Amortizacion'!J149,8),ROUND('Tabla de Amortizacion'!L149,8))))))</f>
        <v>0</v>
      </c>
    </row>
    <row r="149" spans="1:2" ht="12.75">
      <c r="A149" s="127">
        <f t="shared" si="4"/>
        <v>44795</v>
      </c>
      <c r="B149" s="128">
        <f>IF('CALCULADORA TIPS Pesos E-14'!$F$10="Contractual",ROUND('Tabla de Amortizacion'!B150,8),IF('CALCULADORA TIPS Pesos E-14'!$F$10="6% (Medio)",ROUND('Tabla de Amortizacion'!D150,8),IF('CALCULADORA TIPS Pesos E-14'!$F$10="10% (Medio Alto)",ROUND('Tabla de Amortizacion'!F150,8),IF('CALCULADORA TIPS Pesos E-14'!$F$10="14% (Alto)",ROUND('Tabla de Amortizacion'!H150,8),IF('CALCULADORA TIPS Pesos E-14'!$F$10=20%,ROUND('Tabla de Amortizacion'!J150,8),ROUND('Tabla de Amortizacion'!L150,8))))))</f>
        <v>0</v>
      </c>
    </row>
    <row r="150" spans="1:2" ht="12.75">
      <c r="A150" s="127">
        <f t="shared" si="4"/>
        <v>44826</v>
      </c>
      <c r="B150" s="128">
        <f>IF('CALCULADORA TIPS Pesos E-14'!$F$10="Contractual",ROUND('Tabla de Amortizacion'!B151,8),IF('CALCULADORA TIPS Pesos E-14'!$F$10="6% (Medio)",ROUND('Tabla de Amortizacion'!D151,8),IF('CALCULADORA TIPS Pesos E-14'!$F$10="10% (Medio Alto)",ROUND('Tabla de Amortizacion'!F151,8),IF('CALCULADORA TIPS Pesos E-14'!$F$10="14% (Alto)",ROUND('Tabla de Amortizacion'!H151,8),IF('CALCULADORA TIPS Pesos E-14'!$F$10=20%,ROUND('Tabla de Amortizacion'!J151,8),ROUND('Tabla de Amortizacion'!L151,8))))))</f>
        <v>0</v>
      </c>
    </row>
    <row r="151" spans="1:2" ht="12.75">
      <c r="A151" s="127">
        <f t="shared" si="4"/>
        <v>44856</v>
      </c>
      <c r="B151" s="128">
        <f>IF('CALCULADORA TIPS Pesos E-14'!$F$10="Contractual",ROUND('Tabla de Amortizacion'!B152,8),IF('CALCULADORA TIPS Pesos E-14'!$F$10="6% (Medio)",ROUND('Tabla de Amortizacion'!D152,8),IF('CALCULADORA TIPS Pesos E-14'!$F$10="10% (Medio Alto)",ROUND('Tabla de Amortizacion'!F152,8),IF('CALCULADORA TIPS Pesos E-14'!$F$10="14% (Alto)",ROUND('Tabla de Amortizacion'!H152,8),IF('CALCULADORA TIPS Pesos E-14'!$F$10=20%,ROUND('Tabla de Amortizacion'!J152,8),ROUND('Tabla de Amortizacion'!L152,8))))))</f>
        <v>0</v>
      </c>
    </row>
    <row r="152" spans="1:2" ht="12.75">
      <c r="A152" s="127">
        <f t="shared" si="4"/>
        <v>44887</v>
      </c>
      <c r="B152" s="128">
        <f>IF('CALCULADORA TIPS Pesos E-14'!$F$10="Contractual",ROUND('Tabla de Amortizacion'!B153,8),IF('CALCULADORA TIPS Pesos E-14'!$F$10="6% (Medio)",ROUND('Tabla de Amortizacion'!D153,8),IF('CALCULADORA TIPS Pesos E-14'!$F$10="10% (Medio Alto)",ROUND('Tabla de Amortizacion'!F153,8),IF('CALCULADORA TIPS Pesos E-14'!$F$10="14% (Alto)",ROUND('Tabla de Amortizacion'!H153,8),IF('CALCULADORA TIPS Pesos E-14'!$F$10=20%,ROUND('Tabla de Amortizacion'!J153,8),ROUND('Tabla de Amortizacion'!L153,8))))))</f>
        <v>0</v>
      </c>
    </row>
    <row r="153" spans="1:2" ht="12.75">
      <c r="A153" s="127">
        <f t="shared" si="4"/>
        <v>44917</v>
      </c>
      <c r="B153" s="128">
        <f>IF('CALCULADORA TIPS Pesos E-14'!$F$10="Contractual",ROUND('Tabla de Amortizacion'!B154,8),IF('CALCULADORA TIPS Pesos E-14'!$F$10="6% (Medio)",ROUND('Tabla de Amortizacion'!D154,8),IF('CALCULADORA TIPS Pesos E-14'!$F$10="10% (Medio Alto)",ROUND('Tabla de Amortizacion'!F154,8),IF('CALCULADORA TIPS Pesos E-14'!$F$10="14% (Alto)",ROUND('Tabla de Amortizacion'!H154,8),IF('CALCULADORA TIPS Pesos E-14'!$F$10=20%,ROUND('Tabla de Amortizacion'!J154,8),ROUND('Tabla de Amortizacion'!L154,8))))))</f>
        <v>0</v>
      </c>
    </row>
    <row r="154" spans="1:2" ht="12.75">
      <c r="A154" s="127">
        <f t="shared" si="4"/>
        <v>44948</v>
      </c>
      <c r="B154" s="128">
        <f>IF('CALCULADORA TIPS Pesos E-14'!$F$10="Contractual",ROUND('Tabla de Amortizacion'!B155,8),IF('CALCULADORA TIPS Pesos E-14'!$F$10="6% (Medio)",ROUND('Tabla de Amortizacion'!D155,8),IF('CALCULADORA TIPS Pesos E-14'!$F$10="10% (Medio Alto)",ROUND('Tabla de Amortizacion'!F155,8),IF('CALCULADORA TIPS Pesos E-14'!$F$10="14% (Alto)",ROUND('Tabla de Amortizacion'!H155,8),IF('CALCULADORA TIPS Pesos E-14'!$F$10=20%,ROUND('Tabla de Amortizacion'!J155,8),ROUND('Tabla de Amortizacion'!L155,8))))))</f>
        <v>0</v>
      </c>
    </row>
    <row r="155" spans="1:2" ht="12.75">
      <c r="A155" s="127">
        <f t="shared" si="4"/>
        <v>44979</v>
      </c>
      <c r="B155" s="128">
        <f>IF('CALCULADORA TIPS Pesos E-14'!$F$10="Contractual",ROUND('Tabla de Amortizacion'!B156,8),IF('CALCULADORA TIPS Pesos E-14'!$F$10="6% (Medio)",ROUND('Tabla de Amortizacion'!D156,8),IF('CALCULADORA TIPS Pesos E-14'!$F$10="10% (Medio Alto)",ROUND('Tabla de Amortizacion'!F156,8),IF('CALCULADORA TIPS Pesos E-14'!$F$10="14% (Alto)",ROUND('Tabla de Amortizacion'!H156,8),IF('CALCULADORA TIPS Pesos E-14'!$F$10=20%,ROUND('Tabla de Amortizacion'!J156,8),ROUND('Tabla de Amortizacion'!L156,8))))))</f>
        <v>0</v>
      </c>
    </row>
    <row r="156" spans="1:2" ht="12.75">
      <c r="A156" s="127">
        <f t="shared" si="4"/>
        <v>45007</v>
      </c>
      <c r="B156" s="128">
        <f>IF('CALCULADORA TIPS Pesos E-14'!$F$10="Contractual",ROUND('Tabla de Amortizacion'!B157,8),IF('CALCULADORA TIPS Pesos E-14'!$F$10="6% (Medio)",ROUND('Tabla de Amortizacion'!D157,8),IF('CALCULADORA TIPS Pesos E-14'!$F$10="10% (Medio Alto)",ROUND('Tabla de Amortizacion'!F157,8),IF('CALCULADORA TIPS Pesos E-14'!$F$10="14% (Alto)",ROUND('Tabla de Amortizacion'!H157,8),IF('CALCULADORA TIPS Pesos E-14'!$F$10=20%,ROUND('Tabla de Amortizacion'!J157,8),ROUND('Tabla de Amortizacion'!L157,8))))))</f>
        <v>0</v>
      </c>
    </row>
    <row r="157" spans="1:2" ht="12.75">
      <c r="A157" s="127">
        <f t="shared" si="4"/>
        <v>45038</v>
      </c>
      <c r="B157" s="128">
        <f>IF('CALCULADORA TIPS Pesos E-14'!$F$10="Contractual",ROUND('Tabla de Amortizacion'!B158,8),IF('CALCULADORA TIPS Pesos E-14'!$F$10="6% (Medio)",ROUND('Tabla de Amortizacion'!D158,8),IF('CALCULADORA TIPS Pesos E-14'!$F$10="10% (Medio Alto)",ROUND('Tabla de Amortizacion'!F158,8),IF('CALCULADORA TIPS Pesos E-14'!$F$10="14% (Alto)",ROUND('Tabla de Amortizacion'!H158,8),IF('CALCULADORA TIPS Pesos E-14'!$F$10=20%,ROUND('Tabla de Amortizacion'!J158,8),ROUND('Tabla de Amortizacion'!L158,8))))))</f>
        <v>0</v>
      </c>
    </row>
    <row r="158" spans="1:2" ht="12.75">
      <c r="A158" s="127">
        <f t="shared" si="4"/>
        <v>45068</v>
      </c>
      <c r="B158" s="128">
        <f>IF('CALCULADORA TIPS Pesos E-14'!$F$10="Contractual",ROUND('Tabla de Amortizacion'!B159,8),IF('CALCULADORA TIPS Pesos E-14'!$F$10="6% (Medio)",ROUND('Tabla de Amortizacion'!D159,8),IF('CALCULADORA TIPS Pesos E-14'!$F$10="10% (Medio Alto)",ROUND('Tabla de Amortizacion'!F159,8),IF('CALCULADORA TIPS Pesos E-14'!$F$10="14% (Alto)",ROUND('Tabla de Amortizacion'!H159,8),IF('CALCULADORA TIPS Pesos E-14'!$F$10=20%,ROUND('Tabla de Amortizacion'!J159,8),ROUND('Tabla de Amortizacion'!L159,8))))))</f>
        <v>0</v>
      </c>
    </row>
    <row r="159" spans="1:2" ht="12.75">
      <c r="A159" s="127">
        <f t="shared" si="4"/>
        <v>45099</v>
      </c>
      <c r="B159" s="128">
        <f>IF('CALCULADORA TIPS Pesos E-14'!$F$10="Contractual",ROUND('Tabla de Amortizacion'!B160,8),IF('CALCULADORA TIPS Pesos E-14'!$F$10="6% (Medio)",ROUND('Tabla de Amortizacion'!D160,8),IF('CALCULADORA TIPS Pesos E-14'!$F$10="10% (Medio Alto)",ROUND('Tabla de Amortizacion'!F160,8),IF('CALCULADORA TIPS Pesos E-14'!$F$10="14% (Alto)",ROUND('Tabla de Amortizacion'!H160,8),IF('CALCULADORA TIPS Pesos E-14'!$F$10=20%,ROUND('Tabla de Amortizacion'!J160,8),ROUND('Tabla de Amortizacion'!L160,8))))))</f>
        <v>0</v>
      </c>
    </row>
    <row r="160" spans="1:2" ht="12.75">
      <c r="A160" s="127">
        <f t="shared" si="4"/>
        <v>45129</v>
      </c>
      <c r="B160" s="128">
        <f>IF('CALCULADORA TIPS Pesos E-14'!$F$10="Contractual",ROUND('Tabla de Amortizacion'!B161,8),IF('CALCULADORA TIPS Pesos E-14'!$F$10="6% (Medio)",ROUND('Tabla de Amortizacion'!D161,8),IF('CALCULADORA TIPS Pesos E-14'!$F$10="10% (Medio Alto)",ROUND('Tabla de Amortizacion'!F161,8),IF('CALCULADORA TIPS Pesos E-14'!$F$10="14% (Alto)",ROUND('Tabla de Amortizacion'!H161,8),IF('CALCULADORA TIPS Pesos E-14'!$F$10=20%,ROUND('Tabla de Amortizacion'!J161,8),ROUND('Tabla de Amortizacion'!L161,8))))))</f>
        <v>0</v>
      </c>
    </row>
    <row r="161" spans="1:2" ht="12.75">
      <c r="A161" s="127">
        <f t="shared" si="4"/>
        <v>45160</v>
      </c>
      <c r="B161" s="128">
        <f>IF('CALCULADORA TIPS Pesos E-14'!$F$10="Contractual",ROUND('Tabla de Amortizacion'!B162,8),IF('CALCULADORA TIPS Pesos E-14'!$F$10="6% (Medio)",ROUND('Tabla de Amortizacion'!D162,8),IF('CALCULADORA TIPS Pesos E-14'!$F$10="10% (Medio Alto)",ROUND('Tabla de Amortizacion'!F162,8),IF('CALCULADORA TIPS Pesos E-14'!$F$10="14% (Alto)",ROUND('Tabla de Amortizacion'!H162,8),IF('CALCULADORA TIPS Pesos E-14'!$F$10=20%,ROUND('Tabla de Amortizacion'!J162,8),ROUND('Tabla de Amortizacion'!L162,8))))))</f>
        <v>0</v>
      </c>
    </row>
    <row r="162" spans="1:2" ht="12.75">
      <c r="A162" s="127">
        <f t="shared" si="4"/>
        <v>45191</v>
      </c>
      <c r="B162" s="128">
        <f>IF('CALCULADORA TIPS Pesos E-14'!$F$10="Contractual",ROUND('Tabla de Amortizacion'!B163,8),IF('CALCULADORA TIPS Pesos E-14'!$F$10="6% (Medio)",ROUND('Tabla de Amortizacion'!D163,8),IF('CALCULADORA TIPS Pesos E-14'!$F$10="10% (Medio Alto)",ROUND('Tabla de Amortizacion'!F163,8),IF('CALCULADORA TIPS Pesos E-14'!$F$10="14% (Alto)",ROUND('Tabla de Amortizacion'!H163,8),IF('CALCULADORA TIPS Pesos E-14'!$F$10=20%,ROUND('Tabla de Amortizacion'!J163,8),ROUND('Tabla de Amortizacion'!L163,8))))))</f>
        <v>0</v>
      </c>
    </row>
    <row r="163" spans="1:2" ht="12.75">
      <c r="A163" s="127">
        <f aca="true" t="shared" si="5" ref="A163:A181">_XLL.FECHA.MES(A162,1)</f>
        <v>45221</v>
      </c>
      <c r="B163" s="128">
        <f>IF('CALCULADORA TIPS Pesos E-14'!$F$10="Contractual",ROUND('Tabla de Amortizacion'!B164,8),IF('CALCULADORA TIPS Pesos E-14'!$F$10="6% (Medio)",ROUND('Tabla de Amortizacion'!D164,8),IF('CALCULADORA TIPS Pesos E-14'!$F$10="10% (Medio Alto)",ROUND('Tabla de Amortizacion'!F164,8),IF('CALCULADORA TIPS Pesos E-14'!$F$10="14% (Alto)",ROUND('Tabla de Amortizacion'!H164,8),IF('CALCULADORA TIPS Pesos E-14'!$F$10=20%,ROUND('Tabla de Amortizacion'!J164,8),ROUND('Tabla de Amortizacion'!L164,8))))))</f>
        <v>0</v>
      </c>
    </row>
    <row r="164" spans="1:2" ht="12.75">
      <c r="A164" s="127">
        <f t="shared" si="5"/>
        <v>45252</v>
      </c>
      <c r="B164" s="128">
        <f>IF('CALCULADORA TIPS Pesos E-14'!$F$10="Contractual",ROUND('Tabla de Amortizacion'!B165,8),IF('CALCULADORA TIPS Pesos E-14'!$F$10="6% (Medio)",ROUND('Tabla de Amortizacion'!D165,8),IF('CALCULADORA TIPS Pesos E-14'!$F$10="10% (Medio Alto)",ROUND('Tabla de Amortizacion'!F165,8),IF('CALCULADORA TIPS Pesos E-14'!$F$10="14% (Alto)",ROUND('Tabla de Amortizacion'!H165,8),IF('CALCULADORA TIPS Pesos E-14'!$F$10=20%,ROUND('Tabla de Amortizacion'!J165,8),ROUND('Tabla de Amortizacion'!L165,8))))))</f>
        <v>0</v>
      </c>
    </row>
    <row r="165" spans="1:2" ht="12.75">
      <c r="A165" s="127">
        <f t="shared" si="5"/>
        <v>45282</v>
      </c>
      <c r="B165" s="128">
        <f>IF('CALCULADORA TIPS Pesos E-14'!$F$10="Contractual",ROUND('Tabla de Amortizacion'!B166,8),IF('CALCULADORA TIPS Pesos E-14'!$F$10="6% (Medio)",ROUND('Tabla de Amortizacion'!D166,8),IF('CALCULADORA TIPS Pesos E-14'!$F$10="10% (Medio Alto)",ROUND('Tabla de Amortizacion'!F166,8),IF('CALCULADORA TIPS Pesos E-14'!$F$10="14% (Alto)",ROUND('Tabla de Amortizacion'!H166,8),IF('CALCULADORA TIPS Pesos E-14'!$F$10=20%,ROUND('Tabla de Amortizacion'!J166,8),ROUND('Tabla de Amortizacion'!L166,8))))))</f>
        <v>0</v>
      </c>
    </row>
    <row r="166" spans="1:2" ht="12.75">
      <c r="A166" s="127">
        <f t="shared" si="5"/>
        <v>45313</v>
      </c>
      <c r="B166" s="128">
        <f>IF('CALCULADORA TIPS Pesos E-14'!$F$10="Contractual",ROUND('Tabla de Amortizacion'!B167,8),IF('CALCULADORA TIPS Pesos E-14'!$F$10="6% (Medio)",ROUND('Tabla de Amortizacion'!D167,8),IF('CALCULADORA TIPS Pesos E-14'!$F$10="10% (Medio Alto)",ROUND('Tabla de Amortizacion'!F167,8),IF('CALCULADORA TIPS Pesos E-14'!$F$10="14% (Alto)",ROUND('Tabla de Amortizacion'!H167,8),IF('CALCULADORA TIPS Pesos E-14'!$F$10=20%,ROUND('Tabla de Amortizacion'!J167,8),ROUND('Tabla de Amortizacion'!L167,8))))))</f>
        <v>0</v>
      </c>
    </row>
    <row r="167" spans="1:2" ht="12.75">
      <c r="A167" s="127">
        <f t="shared" si="5"/>
        <v>45344</v>
      </c>
      <c r="B167" s="128">
        <f>IF('CALCULADORA TIPS Pesos E-14'!$F$10="Contractual",ROUND('Tabla de Amortizacion'!B168,8),IF('CALCULADORA TIPS Pesos E-14'!$F$10="6% (Medio)",ROUND('Tabla de Amortizacion'!D168,8),IF('CALCULADORA TIPS Pesos E-14'!$F$10="10% (Medio Alto)",ROUND('Tabla de Amortizacion'!F168,8),IF('CALCULADORA TIPS Pesos E-14'!$F$10="14% (Alto)",ROUND('Tabla de Amortizacion'!H168,8),IF('CALCULADORA TIPS Pesos E-14'!$F$10=20%,ROUND('Tabla de Amortizacion'!J168,8),ROUND('Tabla de Amortizacion'!L168,8))))))</f>
        <v>0</v>
      </c>
    </row>
    <row r="168" spans="1:2" ht="12.75">
      <c r="A168" s="127">
        <f t="shared" si="5"/>
        <v>45373</v>
      </c>
      <c r="B168" s="128">
        <f>IF('CALCULADORA TIPS Pesos E-14'!$F$10="Contractual",ROUND('Tabla de Amortizacion'!B169,8),IF('CALCULADORA TIPS Pesos E-14'!$F$10="6% (Medio)",ROUND('Tabla de Amortizacion'!D169,8),IF('CALCULADORA TIPS Pesos E-14'!$F$10="10% (Medio Alto)",ROUND('Tabla de Amortizacion'!F169,8),IF('CALCULADORA TIPS Pesos E-14'!$F$10="14% (Alto)",ROUND('Tabla de Amortizacion'!H169,8),IF('CALCULADORA TIPS Pesos E-14'!$F$10=20%,ROUND('Tabla de Amortizacion'!J169,8),ROUND('Tabla de Amortizacion'!L169,8))))))</f>
        <v>0</v>
      </c>
    </row>
    <row r="169" spans="1:2" ht="12.75">
      <c r="A169" s="127">
        <f t="shared" si="5"/>
        <v>45404</v>
      </c>
      <c r="B169" s="128">
        <f>IF('CALCULADORA TIPS Pesos E-14'!$F$10="Contractual",ROUND('Tabla de Amortizacion'!B170,8),IF('CALCULADORA TIPS Pesos E-14'!$F$10="6% (Medio)",ROUND('Tabla de Amortizacion'!D170,8),IF('CALCULADORA TIPS Pesos E-14'!$F$10="10% (Medio Alto)",ROUND('Tabla de Amortizacion'!F170,8),IF('CALCULADORA TIPS Pesos E-14'!$F$10="14% (Alto)",ROUND('Tabla de Amortizacion'!H170,8),IF('CALCULADORA TIPS Pesos E-14'!$F$10=20%,ROUND('Tabla de Amortizacion'!J170,8),ROUND('Tabla de Amortizacion'!L170,8))))))</f>
        <v>0</v>
      </c>
    </row>
    <row r="170" spans="1:2" ht="12.75">
      <c r="A170" s="127">
        <f t="shared" si="5"/>
        <v>45434</v>
      </c>
      <c r="B170" s="128">
        <f>IF('CALCULADORA TIPS Pesos E-14'!$F$10="Contractual",ROUND('Tabla de Amortizacion'!B171,8),IF('CALCULADORA TIPS Pesos E-14'!$F$10="6% (Medio)",ROUND('Tabla de Amortizacion'!D171,8),IF('CALCULADORA TIPS Pesos E-14'!$F$10="10% (Medio Alto)",ROUND('Tabla de Amortizacion'!F171,8),IF('CALCULADORA TIPS Pesos E-14'!$F$10="14% (Alto)",ROUND('Tabla de Amortizacion'!H171,8),IF('CALCULADORA TIPS Pesos E-14'!$F$10=20%,ROUND('Tabla de Amortizacion'!J171,8),ROUND('Tabla de Amortizacion'!L171,8))))))</f>
        <v>0</v>
      </c>
    </row>
    <row r="171" spans="1:2" ht="12.75">
      <c r="A171" s="127">
        <f t="shared" si="5"/>
        <v>45465</v>
      </c>
      <c r="B171" s="128">
        <f>IF('CALCULADORA TIPS Pesos E-14'!$F$10="Contractual",ROUND('Tabla de Amortizacion'!B172,8),IF('CALCULADORA TIPS Pesos E-14'!$F$10="6% (Medio)",ROUND('Tabla de Amortizacion'!D172,8),IF('CALCULADORA TIPS Pesos E-14'!$F$10="10% (Medio Alto)",ROUND('Tabla de Amortizacion'!F172,8),IF('CALCULADORA TIPS Pesos E-14'!$F$10="14% (Alto)",ROUND('Tabla de Amortizacion'!H172,8),IF('CALCULADORA TIPS Pesos E-14'!$F$10=20%,ROUND('Tabla de Amortizacion'!J172,8),ROUND('Tabla de Amortizacion'!L172,8))))))</f>
        <v>0</v>
      </c>
    </row>
    <row r="172" spans="1:2" ht="12.75">
      <c r="A172" s="127">
        <f t="shared" si="5"/>
        <v>45495</v>
      </c>
      <c r="B172" s="128">
        <f>IF('CALCULADORA TIPS Pesos E-14'!$F$10="Contractual",ROUND('Tabla de Amortizacion'!B173,8),IF('CALCULADORA TIPS Pesos E-14'!$F$10="6% (Medio)",ROUND('Tabla de Amortizacion'!D173,8),IF('CALCULADORA TIPS Pesos E-14'!$F$10="10% (Medio Alto)",ROUND('Tabla de Amortizacion'!F173,8),IF('CALCULADORA TIPS Pesos E-14'!$F$10="14% (Alto)",ROUND('Tabla de Amortizacion'!H173,8),IF('CALCULADORA TIPS Pesos E-14'!$F$10=20%,ROUND('Tabla de Amortizacion'!J173,8),ROUND('Tabla de Amortizacion'!L173,8))))))</f>
        <v>0</v>
      </c>
    </row>
    <row r="173" spans="1:2" ht="12.75">
      <c r="A173" s="127">
        <f t="shared" si="5"/>
        <v>45526</v>
      </c>
      <c r="B173" s="128">
        <f>IF('CALCULADORA TIPS Pesos E-14'!$F$10="Contractual",ROUND('Tabla de Amortizacion'!B174,8),IF('CALCULADORA TIPS Pesos E-14'!$F$10="6% (Medio)",ROUND('Tabla de Amortizacion'!D174,8),IF('CALCULADORA TIPS Pesos E-14'!$F$10="10% (Medio Alto)",ROUND('Tabla de Amortizacion'!F174,8),IF('CALCULADORA TIPS Pesos E-14'!$F$10="14% (Alto)",ROUND('Tabla de Amortizacion'!H174,8),IF('CALCULADORA TIPS Pesos E-14'!$F$10=20%,ROUND('Tabla de Amortizacion'!J174,8),ROUND('Tabla de Amortizacion'!L174,8))))))</f>
        <v>0</v>
      </c>
    </row>
    <row r="174" spans="1:2" ht="12.75">
      <c r="A174" s="127">
        <f t="shared" si="5"/>
        <v>45557</v>
      </c>
      <c r="B174" s="128">
        <f>IF('CALCULADORA TIPS Pesos E-14'!$F$10="Contractual",ROUND('Tabla de Amortizacion'!B175,8),IF('CALCULADORA TIPS Pesos E-14'!$F$10="6% (Medio)",ROUND('Tabla de Amortizacion'!D175,8),IF('CALCULADORA TIPS Pesos E-14'!$F$10="10% (Medio Alto)",ROUND('Tabla de Amortizacion'!F175,8),IF('CALCULADORA TIPS Pesos E-14'!$F$10="14% (Alto)",ROUND('Tabla de Amortizacion'!H175,8),IF('CALCULADORA TIPS Pesos E-14'!$F$10=20%,ROUND('Tabla de Amortizacion'!J175,8),ROUND('Tabla de Amortizacion'!L175,8))))))</f>
        <v>0</v>
      </c>
    </row>
    <row r="175" spans="1:2" ht="12.75">
      <c r="A175" s="127">
        <f t="shared" si="5"/>
        <v>45587</v>
      </c>
      <c r="B175" s="128">
        <f>IF('CALCULADORA TIPS Pesos E-14'!$F$10="Contractual",ROUND('Tabla de Amortizacion'!B176,8),IF('CALCULADORA TIPS Pesos E-14'!$F$10="6% (Medio)",ROUND('Tabla de Amortizacion'!D176,8),IF('CALCULADORA TIPS Pesos E-14'!$F$10="10% (Medio Alto)",ROUND('Tabla de Amortizacion'!F176,8),IF('CALCULADORA TIPS Pesos E-14'!$F$10="14% (Alto)",ROUND('Tabla de Amortizacion'!H176,8),IF('CALCULADORA TIPS Pesos E-14'!$F$10=20%,ROUND('Tabla de Amortizacion'!J176,8),ROUND('Tabla de Amortizacion'!L176,8))))))</f>
        <v>0</v>
      </c>
    </row>
    <row r="176" spans="1:2" ht="12.75">
      <c r="A176" s="127">
        <f t="shared" si="5"/>
        <v>45618</v>
      </c>
      <c r="B176" s="128">
        <f>IF('CALCULADORA TIPS Pesos E-14'!$F$10="Contractual",ROUND('Tabla de Amortizacion'!B177,8),IF('CALCULADORA TIPS Pesos E-14'!$F$10="6% (Medio)",ROUND('Tabla de Amortizacion'!D177,8),IF('CALCULADORA TIPS Pesos E-14'!$F$10="10% (Medio Alto)",ROUND('Tabla de Amortizacion'!F177,8),IF('CALCULADORA TIPS Pesos E-14'!$F$10="14% (Alto)",ROUND('Tabla de Amortizacion'!H177,8),IF('CALCULADORA TIPS Pesos E-14'!$F$10=20%,ROUND('Tabla de Amortizacion'!J177,8),ROUND('Tabla de Amortizacion'!L177,8))))))</f>
        <v>0</v>
      </c>
    </row>
    <row r="177" spans="1:2" ht="12.75">
      <c r="A177" s="127">
        <f t="shared" si="5"/>
        <v>45648</v>
      </c>
      <c r="B177" s="128">
        <f>IF('CALCULADORA TIPS Pesos E-14'!$F$10="Contractual",ROUND('Tabla de Amortizacion'!B178,8),IF('CALCULADORA TIPS Pesos E-14'!$F$10="6% (Medio)",ROUND('Tabla de Amortizacion'!D178,8),IF('CALCULADORA TIPS Pesos E-14'!$F$10="10% (Medio Alto)",ROUND('Tabla de Amortizacion'!F178,8),IF('CALCULADORA TIPS Pesos E-14'!$F$10="14% (Alto)",ROUND('Tabla de Amortizacion'!H178,8),IF('CALCULADORA TIPS Pesos E-14'!$F$10=20%,ROUND('Tabla de Amortizacion'!J178,8),ROUND('Tabla de Amortizacion'!L178,8))))))</f>
        <v>0</v>
      </c>
    </row>
    <row r="178" spans="1:2" ht="12.75">
      <c r="A178" s="127">
        <f t="shared" si="5"/>
        <v>45679</v>
      </c>
      <c r="B178" s="128">
        <f>IF('CALCULADORA TIPS Pesos E-14'!$F$10="Contractual",ROUND('Tabla de Amortizacion'!B179,8),IF('CALCULADORA TIPS Pesos E-14'!$F$10="6% (Medio)",ROUND('Tabla de Amortizacion'!D179,8),IF('CALCULADORA TIPS Pesos E-14'!$F$10="10% (Medio Alto)",ROUND('Tabla de Amortizacion'!F179,8),IF('CALCULADORA TIPS Pesos E-14'!$F$10="14% (Alto)",ROUND('Tabla de Amortizacion'!H179,8),IF('CALCULADORA TIPS Pesos E-14'!$F$10=20%,ROUND('Tabla de Amortizacion'!J179,8),ROUND('Tabla de Amortizacion'!L179,8))))))</f>
        <v>0</v>
      </c>
    </row>
    <row r="179" spans="1:2" ht="12.75">
      <c r="A179" s="127">
        <f t="shared" si="5"/>
        <v>45710</v>
      </c>
      <c r="B179" s="128">
        <f>IF('CALCULADORA TIPS Pesos E-14'!$F$10="Contractual",ROUND('Tabla de Amortizacion'!B180,8),IF('CALCULADORA TIPS Pesos E-14'!$F$10="6% (Medio)",ROUND('Tabla de Amortizacion'!D180,8),IF('CALCULADORA TIPS Pesos E-14'!$F$10="10% (Medio Alto)",ROUND('Tabla de Amortizacion'!F180,8),IF('CALCULADORA TIPS Pesos E-14'!$F$10="14% (Alto)",ROUND('Tabla de Amortizacion'!H180,8),IF('CALCULADORA TIPS Pesos E-14'!$F$10=20%,ROUND('Tabla de Amortizacion'!J180,8),ROUND('Tabla de Amortizacion'!L180,8))))))</f>
        <v>0</v>
      </c>
    </row>
    <row r="180" spans="1:2" ht="12.75">
      <c r="A180" s="127">
        <f t="shared" si="5"/>
        <v>45738</v>
      </c>
      <c r="B180" s="128">
        <f>IF('CALCULADORA TIPS Pesos E-14'!$F$10="Contractual",ROUND('Tabla de Amortizacion'!B181,8),IF('CALCULADORA TIPS Pesos E-14'!$F$10="6% (Medio)",ROUND('Tabla de Amortizacion'!D181,8),IF('CALCULADORA TIPS Pesos E-14'!$F$10="10% (Medio Alto)",ROUND('Tabla de Amortizacion'!F181,8),IF('CALCULADORA TIPS Pesos E-14'!$F$10="14% (Alto)",ROUND('Tabla de Amortizacion'!H181,8),IF('CALCULADORA TIPS Pesos E-14'!$F$10=20%,ROUND('Tabla de Amortizacion'!J181,8),ROUND('Tabla de Amortizacion'!L181,8))))))</f>
        <v>0</v>
      </c>
    </row>
    <row r="181" spans="1:2" ht="13.5" thickBot="1">
      <c r="A181" s="129">
        <f t="shared" si="5"/>
        <v>45769</v>
      </c>
      <c r="B181" s="130">
        <f>IF('CALCULADORA TIPS Pesos E-14'!$F$10="Contractual",ROUND('Tabla de Amortizacion'!B182,8),IF('CALCULADORA TIPS Pesos E-14'!$F$10="6% (Medio)",ROUND('Tabla de Amortizacion'!D182,8),IF('CALCULADORA TIPS Pesos E-14'!$F$10="10% (Medio Alto)",ROUND('Tabla de Amortizacion'!F182,8),IF('CALCULADORA TIPS Pesos E-14'!$F$10="14% (Alto)",ROUND('Tabla de Amortizacion'!H182,8),IF('CALCULADORA TIPS Pesos E-14'!$F$10=20%,ROUND('Tabla de Amortizacion'!J182,8),ROUND('Tabla de Amortizacion'!L182,8))))))</f>
        <v>0</v>
      </c>
    </row>
  </sheetData>
  <sheetProtection password="C539"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Samuel González</cp:lastModifiedBy>
  <cp:lastPrinted>2008-01-08T21:41:33Z</cp:lastPrinted>
  <dcterms:created xsi:type="dcterms:W3CDTF">2002-04-18T20:31:17Z</dcterms:created>
  <dcterms:modified xsi:type="dcterms:W3CDTF">2014-11-24T14:16:21Z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