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3750" windowWidth="12120" windowHeight="4215" activeTab="0"/>
  </bookViews>
  <sheets>
    <sheet name="CALCULADORA TIPS Pesos N-20" sheetId="1" r:id="rId1"/>
    <sheet name="Características" sheetId="2" state="hidden" r:id="rId2"/>
    <sheet name="Flujos" sheetId="3" r:id="rId3"/>
    <sheet name="Exclusión" sheetId="4" r:id="rId4"/>
    <sheet name="Tabla de Amortizacion" sheetId="5" state="hidden" r:id="rId5"/>
    <sheet name="Tablas" sheetId="6" state="hidden" r:id="rId6"/>
  </sheets>
  <definedNames>
    <definedName name="_xlfn.SINGLE" hidden="1">#NAME?</definedName>
  </definedNames>
  <calcPr fullCalcOnLoad="1"/>
</workbook>
</file>

<file path=xl/sharedStrings.xml><?xml version="1.0" encoding="utf-8"?>
<sst xmlns="http://schemas.openxmlformats.org/spreadsheetml/2006/main" count="106" uniqueCount="88">
  <si>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</si>
  <si>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</si>
  <si>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</si>
  <si>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</si>
  <si>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</si>
  <si>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</si>
  <si>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</si>
  <si>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</si>
  <si>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</si>
  <si>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</si>
  <si>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</si>
  <si>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</si>
  <si>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</si>
  <si>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</si>
  <si>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</si>
  <si>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</si>
  <si>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</si>
  <si>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</si>
  <si>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</si>
  <si>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</si>
  <si>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</si>
  <si>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</si>
  <si>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</si>
  <si>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</si>
  <si>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</si>
  <si>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</si>
  <si>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</si>
  <si>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</si>
  <si>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</si>
  <si>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</si>
  <si>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</si>
  <si>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</si>
  <si>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</si>
  <si>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</si>
  <si>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</si>
  <si>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</si>
  <si>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</si>
  <si>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</si>
  <si>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</si>
  <si>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</si>
  <si>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</si>
  <si>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</si>
  <si>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</si>
  <si>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</si>
  <si>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</si>
  <si>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</si>
  <si>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Días Hábiles</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</si>
  <si>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</si>
  <si>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</si>
  <si>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Exclusión de responsabilidad</t>
  </si>
  <si>
    <t>Volver</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</si>
  <si>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</si>
  <si>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</si>
  <si>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</si>
  <si>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</si>
  <si>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</si>
  <si>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</si>
  <si>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</si>
  <si>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</si>
  <si>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</si>
  <si>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</si>
  <si>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</si>
  <si>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</si>
  <si>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</si>
  <si>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</si>
  <si>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</si>
  <si>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</si>
  <si>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</si>
  <si>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</si>
  <si>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</si>
  <si>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</si>
  <si>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</si>
  <si>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</si>
  <si>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</si>
  <si>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</si>
  <si>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Fecha / Date</t>
  </si>
  <si>
    <t>Días 365 / Days 365</t>
  </si>
  <si>
    <t>Amortización / Amortization</t>
  </si>
  <si>
    <t>Saldo / Balance</t>
  </si>
  <si>
    <t>Flujo de Capital / Principal Flow</t>
  </si>
  <si>
    <t>Flujo de Intereses / Interest Flow</t>
  </si>
  <si>
    <t>Flujo Total /       Total Flow</t>
  </si>
  <si>
    <t>COF80TIXXXX</t>
  </si>
  <si>
    <t>CALCULADORA DE PRECIOS TIPS PESOS N-20 / PRICE CALCULATOR TIPS PESOS N-20</t>
  </si>
  <si>
    <t>TIPS Pesos N-20 A 2024</t>
  </si>
  <si>
    <t>TIPS Pesos N-20 A 2034</t>
  </si>
  <si>
    <t>INST05041024</t>
  </si>
  <si>
    <t>INST15041034</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</si>
</sst>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_-* #,##0\ &quot;pta&quot;_-;\-* #,##0\ &quot;pta&quot;_-;_-* &quot;-&quot;\ &quot;pta&quot;_-;_-@_-"/>
    <numFmt numFmtId="195" formatCode="_-* #,##0\ _p_t_a_-;\-* #,##0\ _p_t_a_-;_-* &quot;-&quot;\ _p_t_a_-;_-@_-"/>
    <numFmt numFmtId="196" formatCode="_-* #,##0.00\ &quot;pta&quot;_-;\-* #,##0.00\ &quot;pta&quot;_-;_-* &quot;-&quot;??\ &quot;pta&quot;_-;_-@_-"/>
    <numFmt numFmtId="197" formatCode="_-* #,##0.00\ _p_t_a_-;\-* #,##0.00\ _p_t_a_-;_-* &quot;-&quot;??\ _p_t_a_-;_-@_-"/>
    <numFmt numFmtId="198" formatCode="0.00000%"/>
    <numFmt numFmtId="199" formatCode="0.000%"/>
    <numFmt numFmtId="200" formatCode="_ * #,##0_ ;_ * \-#,##0_ ;_ * &quot;-&quot;??_ ;_ @_ "/>
    <numFmt numFmtId="201" formatCode="0.000000000%"/>
    <numFmt numFmtId="202" formatCode="0.0000000%"/>
    <numFmt numFmtId="203" formatCode="#,##0.000000_ ;\-#,##0.000000\ "/>
    <numFmt numFmtId="204" formatCode="#,##0.000_ ;\-#,##0.000\ "/>
    <numFmt numFmtId="205" formatCode="0.0000%"/>
    <numFmt numFmtId="206" formatCode="_-* #,##0\ _p_t_a_-;\-* #,##0\ _p_t_a_-;_-* &quot;-&quot;??\ _p_t_a_-;_-@_-"/>
    <numFmt numFmtId="207" formatCode="0.000000%"/>
    <numFmt numFmtId="208" formatCode="_ * #,##0.000_ ;_ * \-#,##0.000_ ;_ * &quot;-&quot;???_ ;_ @_ "/>
    <numFmt numFmtId="209" formatCode="_ * #,##0.000_ ;_ * \-#,##0.000_ ;_ * &quot;-&quot;??_ ;_ @_ "/>
    <numFmt numFmtId="210" formatCode="_ * #,##0.0000_ ;_ * \-#,##0.0000_ ;_ * &quot;-&quot;??_ ;_ @_ "/>
    <numFmt numFmtId="211" formatCode="_ * #,##0.00000_ ;_ * \-#,##0.00000_ ;_ * &quot;-&quot;??_ ;_ @_ "/>
    <numFmt numFmtId="212" formatCode="_ * #,##0.000000_ ;_ * \-#,##0.000000_ ;_ * &quot;-&quot;??_ ;_ @_ "/>
    <numFmt numFmtId="213" formatCode="#,##0_ ;\-#,##0\ "/>
    <numFmt numFmtId="214" formatCode="_ * #,##0.0000_ ;_ * \-#,##0.0000_ ;_ * &quot;-&quot;????_ ;_ @_ "/>
    <numFmt numFmtId="215" formatCode="0.000"/>
    <numFmt numFmtId="216" formatCode="0.0000"/>
    <numFmt numFmtId="217" formatCode="0.00000"/>
    <numFmt numFmtId="218" formatCode="0.000000"/>
    <numFmt numFmtId="219" formatCode="0.0000000"/>
    <numFmt numFmtId="220" formatCode="0.00000000"/>
    <numFmt numFmtId="221" formatCode="[$-240A]dddd\,\ dd&quot; de &quot;mmmm&quot; de &quot;yyyy"/>
    <numFmt numFmtId="222" formatCode="0.0%"/>
    <numFmt numFmtId="223" formatCode="0.0000000000%"/>
    <numFmt numFmtId="224" formatCode="0.000000000000%"/>
    <numFmt numFmtId="225" formatCode="0.0000000000000%"/>
    <numFmt numFmtId="226" formatCode="0.00000000%"/>
    <numFmt numFmtId="227" formatCode="0.000000000000000000%"/>
  </numFmts>
  <fonts count="6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8"/>
      <name val="Arial"/>
      <family val="2"/>
    </font>
    <font>
      <b/>
      <sz val="10"/>
      <color indexed="9"/>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18"/>
      <name val="Tahoma"/>
      <family val="2"/>
    </font>
    <font>
      <b/>
      <sz val="11"/>
      <color indexed="10"/>
      <name val="Tahoma"/>
      <family val="2"/>
    </font>
    <font>
      <b/>
      <sz val="10"/>
      <color indexed="18"/>
      <name val="Arial"/>
      <family val="2"/>
    </font>
    <font>
      <b/>
      <sz val="10"/>
      <name val="Tahoma"/>
      <family val="2"/>
    </font>
    <font>
      <u val="single"/>
      <sz val="8"/>
      <color indexed="12"/>
      <name val="Arial"/>
      <family val="2"/>
    </font>
    <font>
      <sz val="11"/>
      <color indexed="10"/>
      <name val="Tahoma"/>
      <family val="2"/>
    </font>
    <font>
      <b/>
      <sz val="10"/>
      <color indexed="9"/>
      <name val="Tahoma"/>
      <family val="2"/>
    </font>
    <font>
      <sz val="10"/>
      <name val="Tahoma"/>
      <family val="2"/>
    </font>
    <font>
      <b/>
      <sz val="10"/>
      <color indexed="18"/>
      <name val="Tahoma"/>
      <family val="2"/>
    </font>
    <font>
      <b/>
      <sz val="9"/>
      <color indexed="10"/>
      <name val="Arial"/>
      <family val="2"/>
    </font>
    <font>
      <b/>
      <sz val="9"/>
      <name val="Arial"/>
      <family val="2"/>
    </font>
    <font>
      <b/>
      <sz val="9"/>
      <color indexed="32"/>
      <name val="Arial"/>
      <family val="2"/>
    </font>
    <font>
      <sz val="12"/>
      <color indexed="1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6"/>
      <name val="Arial"/>
      <family val="2"/>
    </font>
    <font>
      <b/>
      <sz val="10"/>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99"/>
      <name val="Tahoma"/>
      <family val="2"/>
    </font>
    <font>
      <b/>
      <sz val="10"/>
      <color theme="0"/>
      <name val="Tahoma"/>
      <family val="2"/>
    </font>
    <font>
      <b/>
      <sz val="10"/>
      <color rgb="FF000066"/>
      <name val="Tahoma"/>
      <family val="2"/>
    </font>
    <font>
      <b/>
      <sz val="10"/>
      <color theme="0"/>
      <name val="Arial"/>
      <family val="2"/>
    </font>
    <font>
      <sz val="10"/>
      <color rgb="FF002060"/>
      <name val="Arial"/>
      <family val="2"/>
    </font>
    <font>
      <b/>
      <sz val="10"/>
      <color rgb="FF00206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rgb="FF00FF00"/>
        <bgColor indexed="64"/>
      </patternFill>
    </fill>
    <fill>
      <patternFill patternType="solid">
        <fgColor rgb="FF002060"/>
        <bgColor indexed="64"/>
      </patternFill>
    </fill>
    <fill>
      <patternFill patternType="solid">
        <fgColor rgb="FFFFFF00"/>
        <bgColor indexed="64"/>
      </patternFill>
    </fill>
    <fill>
      <patternFill patternType="solid">
        <fgColor indexed="6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thin"/>
      <top>
        <color indexed="63"/>
      </top>
      <bottom style="medium"/>
    </border>
    <border>
      <left style="medium"/>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right style="medium"/>
      <top style="thin"/>
      <bottom style="thin"/>
    </border>
    <border>
      <left style="medium"/>
      <right style="medium"/>
      <top style="thin"/>
      <bottom style="medium"/>
    </border>
    <border>
      <left style="thin">
        <color indexed="22"/>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45">
    <xf numFmtId="0" fontId="0" fillId="0" borderId="0" xfId="0" applyAlignment="1">
      <alignment/>
    </xf>
    <xf numFmtId="2"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ill="1" applyAlignment="1" applyProtection="1">
      <alignment horizontal="center"/>
      <protection hidden="1"/>
    </xf>
    <xf numFmtId="14" fontId="0" fillId="33" borderId="10" xfId="0" applyNumberFormat="1" applyFill="1" applyBorder="1" applyAlignment="1" applyProtection="1">
      <alignment horizontal="center"/>
      <protection hidden="1"/>
    </xf>
    <xf numFmtId="207" fontId="0" fillId="33" borderId="11" xfId="55" applyNumberFormat="1" applyFont="1" applyFill="1" applyBorder="1" applyAlignment="1" applyProtection="1">
      <alignment/>
      <protection hidden="1"/>
    </xf>
    <xf numFmtId="187" fontId="0" fillId="33" borderId="0" xfId="0" applyNumberFormat="1" applyFill="1" applyAlignment="1" applyProtection="1">
      <alignment/>
      <protection hidden="1"/>
    </xf>
    <xf numFmtId="0" fontId="4" fillId="33" borderId="12" xfId="0" applyFont="1" applyFill="1" applyBorder="1" applyAlignment="1" applyProtection="1">
      <alignment horizontal="center"/>
      <protection hidden="1"/>
    </xf>
    <xf numFmtId="0" fontId="4" fillId="33" borderId="13" xfId="0" applyFont="1" applyFill="1" applyBorder="1" applyAlignment="1" applyProtection="1">
      <alignment/>
      <protection hidden="1"/>
    </xf>
    <xf numFmtId="185" fontId="0" fillId="33" borderId="11" xfId="49"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0" fontId="0" fillId="33" borderId="14" xfId="0" applyFont="1" applyFill="1" applyBorder="1" applyAlignment="1" applyProtection="1">
      <alignment horizontal="center"/>
      <protection hidden="1"/>
    </xf>
    <xf numFmtId="0" fontId="0" fillId="33" borderId="15" xfId="0" applyFont="1" applyFill="1" applyBorder="1" applyAlignment="1" applyProtection="1">
      <alignment horizontal="center"/>
      <protection hidden="1"/>
    </xf>
    <xf numFmtId="212" fontId="0" fillId="33" borderId="11" xfId="49" applyNumberFormat="1" applyFont="1" applyFill="1" applyBorder="1" applyAlignment="1" applyProtection="1">
      <alignment/>
      <protection hidden="1"/>
    </xf>
    <xf numFmtId="212" fontId="0" fillId="33" borderId="11" xfId="49" applyNumberFormat="1" applyFont="1" applyFill="1" applyBorder="1" applyAlignment="1" applyProtection="1">
      <alignment horizontal="right"/>
      <protection hidden="1"/>
    </xf>
    <xf numFmtId="212" fontId="4" fillId="33" borderId="13" xfId="0" applyNumberFormat="1" applyFont="1" applyFill="1" applyBorder="1" applyAlignment="1" applyProtection="1">
      <alignment/>
      <protection hidden="1"/>
    </xf>
    <xf numFmtId="207" fontId="4" fillId="34" borderId="16" xfId="55" applyNumberFormat="1" applyFont="1" applyFill="1" applyBorder="1" applyAlignment="1" applyProtection="1">
      <alignment/>
      <protection hidden="1"/>
    </xf>
    <xf numFmtId="212" fontId="4" fillId="33" borderId="17" xfId="49" applyNumberFormat="1" applyFont="1" applyFill="1" applyBorder="1" applyAlignment="1" applyProtection="1">
      <alignment/>
      <protection hidden="1"/>
    </xf>
    <xf numFmtId="212" fontId="4" fillId="33" borderId="18" xfId="49" applyNumberFormat="1" applyFont="1" applyFill="1" applyBorder="1" applyAlignment="1" applyProtection="1">
      <alignment/>
      <protection hidden="1"/>
    </xf>
    <xf numFmtId="0" fontId="0" fillId="33" borderId="0" xfId="0" applyFont="1" applyFill="1" applyBorder="1" applyAlignment="1" applyProtection="1">
      <alignment horizontal="center"/>
      <protection hidden="1"/>
    </xf>
    <xf numFmtId="0" fontId="0" fillId="33" borderId="19" xfId="0" applyFont="1" applyFill="1" applyBorder="1" applyAlignment="1" applyProtection="1">
      <alignment horizontal="center"/>
      <protection hidden="1"/>
    </xf>
    <xf numFmtId="212" fontId="0" fillId="33" borderId="20" xfId="49" applyNumberFormat="1" applyFont="1" applyFill="1" applyBorder="1" applyAlignment="1" applyProtection="1">
      <alignment horizontal="right"/>
      <protection hidden="1"/>
    </xf>
    <xf numFmtId="14" fontId="0" fillId="33" borderId="11" xfId="0" applyNumberFormat="1" applyFont="1" applyFill="1" applyBorder="1" applyAlignment="1" applyProtection="1">
      <alignment horizontal="center"/>
      <protection hidden="1"/>
    </xf>
    <xf numFmtId="14" fontId="0" fillId="33" borderId="21" xfId="0" applyNumberFormat="1" applyFont="1" applyFill="1" applyBorder="1" applyAlignment="1" applyProtection="1">
      <alignment horizontal="center"/>
      <protection hidden="1"/>
    </xf>
    <xf numFmtId="208" fontId="0" fillId="33" borderId="0" xfId="0" applyNumberFormat="1" applyFill="1" applyAlignment="1" applyProtection="1">
      <alignment/>
      <protection hidden="1"/>
    </xf>
    <xf numFmtId="0" fontId="0" fillId="33" borderId="22" xfId="0" applyFont="1" applyFill="1" applyBorder="1" applyAlignment="1" applyProtection="1">
      <alignment/>
      <protection hidden="1"/>
    </xf>
    <xf numFmtId="14" fontId="0" fillId="33" borderId="23" xfId="0" applyNumberFormat="1" applyFont="1" applyFill="1" applyBorder="1" applyAlignment="1" applyProtection="1">
      <alignment/>
      <protection hidden="1"/>
    </xf>
    <xf numFmtId="212" fontId="0" fillId="33" borderId="23" xfId="49" applyNumberFormat="1" applyFont="1" applyFill="1" applyBorder="1" applyAlignment="1" applyProtection="1">
      <alignment horizontal="right"/>
      <protection hidden="1"/>
    </xf>
    <xf numFmtId="200" fontId="0" fillId="33" borderId="23" xfId="49" applyNumberFormat="1" applyFont="1" applyFill="1" applyBorder="1" applyAlignment="1" applyProtection="1">
      <alignment horizontal="right"/>
      <protection hidden="1"/>
    </xf>
    <xf numFmtId="211" fontId="0" fillId="33" borderId="23" xfId="49" applyNumberFormat="1" applyFont="1" applyFill="1" applyBorder="1" applyAlignment="1" applyProtection="1">
      <alignment horizontal="right"/>
      <protection hidden="1"/>
    </xf>
    <xf numFmtId="210" fontId="0" fillId="33" borderId="23" xfId="49" applyNumberFormat="1" applyFont="1" applyFill="1" applyBorder="1" applyAlignment="1" applyProtection="1">
      <alignment horizontal="right"/>
      <protection hidden="1"/>
    </xf>
    <xf numFmtId="0" fontId="0" fillId="33" borderId="24" xfId="0" applyFont="1" applyFill="1" applyBorder="1" applyAlignment="1" applyProtection="1">
      <alignment/>
      <protection hidden="1"/>
    </xf>
    <xf numFmtId="199" fontId="0" fillId="33" borderId="25" xfId="55" applyNumberFormat="1" applyFont="1" applyFill="1" applyBorder="1" applyAlignment="1" applyProtection="1">
      <alignment horizontal="right"/>
      <protection hidden="1"/>
    </xf>
    <xf numFmtId="209" fontId="0" fillId="33" borderId="23" xfId="49" applyNumberFormat="1" applyFont="1" applyFill="1" applyBorder="1" applyAlignment="1" applyProtection="1">
      <alignment horizontal="right"/>
      <protection hidden="1"/>
    </xf>
    <xf numFmtId="187" fontId="0" fillId="33" borderId="23" xfId="49" applyNumberFormat="1" applyFont="1" applyFill="1" applyBorder="1" applyAlignment="1" applyProtection="1">
      <alignment horizontal="right"/>
      <protection hidden="1"/>
    </xf>
    <xf numFmtId="187" fontId="4" fillId="33" borderId="17" xfId="49" applyNumberFormat="1" applyFont="1" applyFill="1" applyBorder="1" applyAlignment="1" applyProtection="1">
      <alignment/>
      <protection hidden="1"/>
    </xf>
    <xf numFmtId="187" fontId="4" fillId="33" borderId="18" xfId="49" applyNumberFormat="1" applyFont="1" applyFill="1" applyBorder="1" applyAlignment="1" applyProtection="1">
      <alignment/>
      <protection hidden="1"/>
    </xf>
    <xf numFmtId="0" fontId="7" fillId="0" borderId="0" xfId="0" applyFont="1" applyAlignment="1" applyProtection="1">
      <alignment/>
      <protection hidden="1"/>
    </xf>
    <xf numFmtId="0" fontId="7"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0" fontId="12" fillId="33" borderId="0" xfId="0" applyFont="1" applyFill="1" applyBorder="1" applyAlignment="1" applyProtection="1">
      <alignment horizontal="left" vertical="center" indent="14"/>
      <protection hidden="1"/>
    </xf>
    <xf numFmtId="0" fontId="9" fillId="33" borderId="0" xfId="0" applyFont="1" applyFill="1" applyBorder="1" applyAlignment="1" applyProtection="1">
      <alignment horizontal="left" vertical="center" indent="14"/>
      <protection hidden="1"/>
    </xf>
    <xf numFmtId="0" fontId="7" fillId="0" borderId="0" xfId="0" applyFont="1" applyFill="1" applyAlignment="1" applyProtection="1">
      <alignment/>
      <protection hidden="1"/>
    </xf>
    <xf numFmtId="14" fontId="7" fillId="35" borderId="0" xfId="0" applyNumberFormat="1" applyFont="1" applyFill="1" applyAlignment="1" applyProtection="1">
      <alignment/>
      <protection hidden="1"/>
    </xf>
    <xf numFmtId="14" fontId="7" fillId="0" borderId="0" xfId="0" applyNumberFormat="1" applyFont="1" applyFill="1" applyBorder="1" applyAlignment="1" applyProtection="1">
      <alignment/>
      <protection hidden="1"/>
    </xf>
    <xf numFmtId="0" fontId="9" fillId="33" borderId="0" xfId="0" applyFont="1" applyFill="1" applyBorder="1" applyAlignment="1" applyProtection="1">
      <alignment vertical="center"/>
      <protection hidden="1"/>
    </xf>
    <xf numFmtId="0" fontId="7" fillId="33" borderId="26" xfId="0" applyFont="1" applyFill="1" applyBorder="1" applyAlignment="1" applyProtection="1">
      <alignment/>
      <protection hidden="1"/>
    </xf>
    <xf numFmtId="0" fontId="11" fillId="36" borderId="27" xfId="0" applyFont="1" applyFill="1" applyBorder="1" applyAlignment="1" applyProtection="1">
      <alignment horizontal="left"/>
      <protection hidden="1"/>
    </xf>
    <xf numFmtId="0" fontId="7" fillId="0" borderId="0" xfId="0" applyFont="1" applyBorder="1" applyAlignment="1" applyProtection="1">
      <alignment/>
      <protection hidden="1"/>
    </xf>
    <xf numFmtId="0" fontId="11" fillId="36" borderId="28" xfId="0" applyFont="1" applyFill="1" applyBorder="1" applyAlignment="1" applyProtection="1">
      <alignment horizontal="left"/>
      <protection hidden="1"/>
    </xf>
    <xf numFmtId="0" fontId="7" fillId="0" borderId="28" xfId="0" applyFont="1" applyBorder="1" applyAlignment="1" applyProtection="1">
      <alignment/>
      <protection hidden="1"/>
    </xf>
    <xf numFmtId="9" fontId="7" fillId="0" borderId="0" xfId="0" applyNumberFormat="1" applyFont="1" applyFill="1" applyBorder="1" applyAlignment="1" applyProtection="1">
      <alignment horizontal="left"/>
      <protection hidden="1"/>
    </xf>
    <xf numFmtId="14" fontId="7" fillId="0" borderId="29" xfId="0" applyNumberFormat="1" applyFont="1" applyBorder="1" applyAlignment="1" applyProtection="1">
      <alignment horizontal="right" indent="1"/>
      <protection hidden="1"/>
    </xf>
    <xf numFmtId="0" fontId="7" fillId="0" borderId="26" xfId="0" applyFont="1" applyBorder="1" applyAlignment="1" applyProtection="1">
      <alignment/>
      <protection hidden="1"/>
    </xf>
    <xf numFmtId="14" fontId="7" fillId="0" borderId="26" xfId="0" applyNumberFormat="1" applyFont="1" applyBorder="1" applyAlignment="1" applyProtection="1">
      <alignment horizontal="right" indent="1"/>
      <protection hidden="1"/>
    </xf>
    <xf numFmtId="14" fontId="7" fillId="0" borderId="26" xfId="0" applyNumberFormat="1" applyFont="1" applyBorder="1" applyAlignment="1" applyProtection="1">
      <alignment horizontal="center"/>
      <protection hidden="1"/>
    </xf>
    <xf numFmtId="199" fontId="7" fillId="0" borderId="26" xfId="55" applyNumberFormat="1" applyFont="1" applyBorder="1" applyAlignment="1" applyProtection="1">
      <alignment horizontal="right" indent="1"/>
      <protection hidden="1"/>
    </xf>
    <xf numFmtId="14" fontId="10" fillId="0" borderId="26" xfId="0" applyNumberFormat="1" applyFont="1" applyBorder="1" applyAlignment="1" applyProtection="1">
      <alignment horizontal="right" indent="1"/>
      <protection hidden="1"/>
    </xf>
    <xf numFmtId="203" fontId="7" fillId="0" borderId="26" xfId="49" applyNumberFormat="1" applyFont="1" applyBorder="1" applyAlignment="1" applyProtection="1">
      <alignment horizontal="right" indent="1"/>
      <protection hidden="1"/>
    </xf>
    <xf numFmtId="14" fontId="7" fillId="0" borderId="30" xfId="0" applyNumberFormat="1" applyFont="1" applyBorder="1" applyAlignment="1" applyProtection="1">
      <alignment horizontal="right" indent="1"/>
      <protection hidden="1"/>
    </xf>
    <xf numFmtId="2" fontId="12" fillId="33" borderId="29" xfId="0" applyNumberFormat="1" applyFont="1" applyFill="1" applyBorder="1" applyAlignment="1" applyProtection="1">
      <alignment horizontal="right" indent="1"/>
      <protection hidden="1"/>
    </xf>
    <xf numFmtId="14" fontId="7" fillId="0" borderId="31" xfId="0" applyNumberFormat="1" applyFont="1" applyBorder="1" applyAlignment="1" applyProtection="1">
      <alignment/>
      <protection hidden="1"/>
    </xf>
    <xf numFmtId="2" fontId="12" fillId="33" borderId="26" xfId="0" applyNumberFormat="1" applyFont="1" applyFill="1" applyBorder="1" applyAlignment="1" applyProtection="1">
      <alignment horizontal="right" indent="1"/>
      <protection hidden="1"/>
    </xf>
    <xf numFmtId="2" fontId="12" fillId="33" borderId="0" xfId="0" applyNumberFormat="1" applyFont="1" applyFill="1" applyBorder="1" applyAlignment="1" applyProtection="1">
      <alignment horizontal="center"/>
      <protection hidden="1"/>
    </xf>
    <xf numFmtId="2" fontId="12" fillId="33" borderId="30" xfId="0" applyNumberFormat="1" applyFont="1" applyFill="1" applyBorder="1" applyAlignment="1" applyProtection="1">
      <alignment horizontal="right" indent="1"/>
      <protection hidden="1"/>
    </xf>
    <xf numFmtId="204" fontId="7" fillId="0" borderId="30" xfId="49" applyNumberFormat="1" applyFont="1" applyBorder="1" applyAlignment="1" applyProtection="1">
      <alignment horizontal="right" indent="1"/>
      <protection hidden="1" locked="0"/>
    </xf>
    <xf numFmtId="14" fontId="7" fillId="0" borderId="0" xfId="0" applyNumberFormat="1" applyFont="1" applyFill="1" applyAlignment="1" applyProtection="1">
      <alignment/>
      <protection hidden="1"/>
    </xf>
    <xf numFmtId="0" fontId="0" fillId="33" borderId="0" xfId="0" applyFont="1" applyFill="1" applyAlignment="1" applyProtection="1">
      <alignment horizontal="center" vertical="center"/>
      <protection hidden="1"/>
    </xf>
    <xf numFmtId="187" fontId="0" fillId="33" borderId="10" xfId="49" applyNumberFormat="1" applyFont="1" applyFill="1" applyBorder="1" applyAlignment="1" applyProtection="1">
      <alignment/>
      <protection hidden="1"/>
    </xf>
    <xf numFmtId="187" fontId="0" fillId="33" borderId="11" xfId="0" applyNumberFormat="1" applyFont="1" applyFill="1" applyBorder="1" applyAlignment="1" applyProtection="1">
      <alignment/>
      <protection hidden="1"/>
    </xf>
    <xf numFmtId="187" fontId="0" fillId="33" borderId="14" xfId="0" applyNumberFormat="1" applyFont="1" applyFill="1" applyBorder="1" applyAlignment="1" applyProtection="1">
      <alignment/>
      <protection hidden="1"/>
    </xf>
    <xf numFmtId="0" fontId="0" fillId="33" borderId="0" xfId="0" applyFont="1" applyFill="1" applyAlignment="1" applyProtection="1">
      <alignment/>
      <protection hidden="1"/>
    </xf>
    <xf numFmtId="187" fontId="0" fillId="33" borderId="10" xfId="0" applyNumberFormat="1" applyFont="1" applyFill="1" applyBorder="1" applyAlignment="1" applyProtection="1">
      <alignment/>
      <protection hidden="1"/>
    </xf>
    <xf numFmtId="197" fontId="0" fillId="33" borderId="0" xfId="49" applyFont="1" applyFill="1" applyAlignment="1" applyProtection="1">
      <alignment/>
      <protection hidden="1"/>
    </xf>
    <xf numFmtId="187" fontId="0" fillId="33" borderId="32" xfId="0" applyNumberFormat="1" applyFont="1" applyFill="1" applyBorder="1" applyAlignment="1" applyProtection="1">
      <alignment/>
      <protection hidden="1"/>
    </xf>
    <xf numFmtId="187" fontId="0" fillId="33" borderId="21" xfId="0" applyNumberFormat="1" applyFont="1" applyFill="1" applyBorder="1" applyAlignment="1" applyProtection="1">
      <alignment/>
      <protection hidden="1"/>
    </xf>
    <xf numFmtId="187" fontId="0" fillId="33" borderId="15" xfId="0" applyNumberFormat="1" applyFont="1" applyFill="1" applyBorder="1" applyAlignment="1" applyProtection="1">
      <alignment/>
      <protection hidden="1"/>
    </xf>
    <xf numFmtId="187" fontId="4" fillId="33" borderId="33" xfId="0" applyNumberFormat="1" applyFont="1" applyFill="1" applyBorder="1" applyAlignment="1" applyProtection="1">
      <alignment/>
      <protection hidden="1"/>
    </xf>
    <xf numFmtId="0" fontId="6" fillId="36" borderId="34" xfId="0" applyFont="1" applyFill="1" applyBorder="1" applyAlignment="1" applyProtection="1">
      <alignment/>
      <protection hidden="1"/>
    </xf>
    <xf numFmtId="0" fontId="0" fillId="33" borderId="35" xfId="0" applyFont="1" applyFill="1" applyBorder="1" applyAlignment="1" applyProtection="1">
      <alignment horizontal="center"/>
      <protection hidden="1"/>
    </xf>
    <xf numFmtId="0" fontId="0" fillId="33" borderId="36"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6" fillId="36" borderId="22" xfId="0" applyFont="1" applyFill="1" applyBorder="1" applyAlignment="1" applyProtection="1">
      <alignment/>
      <protection hidden="1"/>
    </xf>
    <xf numFmtId="0" fontId="0" fillId="33" borderId="37" xfId="0" applyFont="1" applyFill="1" applyBorder="1" applyAlignment="1" applyProtection="1">
      <alignment horizontal="center"/>
      <protection hidden="1"/>
    </xf>
    <xf numFmtId="0" fontId="0" fillId="33" borderId="23" xfId="0" applyFont="1" applyFill="1" applyBorder="1" applyAlignment="1" applyProtection="1">
      <alignment horizontal="center"/>
      <protection hidden="1"/>
    </xf>
    <xf numFmtId="14" fontId="0" fillId="35" borderId="0" xfId="0" applyNumberFormat="1" applyFont="1" applyFill="1" applyBorder="1" applyAlignment="1" applyProtection="1">
      <alignment horizontal="center"/>
      <protection hidden="1"/>
    </xf>
    <xf numFmtId="14" fontId="0" fillId="33" borderId="37" xfId="0" applyNumberFormat="1" applyFont="1" applyFill="1" applyBorder="1" applyAlignment="1" applyProtection="1">
      <alignment horizontal="center"/>
      <protection hidden="1"/>
    </xf>
    <xf numFmtId="10" fontId="0" fillId="33" borderId="37" xfId="0" applyNumberFormat="1" applyFont="1" applyFill="1" applyBorder="1" applyAlignment="1" applyProtection="1">
      <alignment horizontal="center"/>
      <protection hidden="1"/>
    </xf>
    <xf numFmtId="10" fontId="0" fillId="33" borderId="23" xfId="0" applyNumberFormat="1" applyFont="1" applyFill="1" applyBorder="1" applyAlignment="1" applyProtection="1">
      <alignment horizontal="center"/>
      <protection hidden="1"/>
    </xf>
    <xf numFmtId="0" fontId="6" fillId="36" borderId="24" xfId="0" applyFont="1" applyFill="1" applyBorder="1" applyAlignment="1" applyProtection="1">
      <alignment/>
      <protection hidden="1"/>
    </xf>
    <xf numFmtId="0" fontId="0" fillId="33" borderId="38" xfId="0" applyFont="1" applyFill="1" applyBorder="1" applyAlignment="1" applyProtection="1">
      <alignment horizontal="center"/>
      <protection hidden="1"/>
    </xf>
    <xf numFmtId="0" fontId="0" fillId="33" borderId="25" xfId="0" applyFont="1" applyFill="1" applyBorder="1" applyAlignment="1" applyProtection="1">
      <alignment horizontal="center"/>
      <protection hidden="1"/>
    </xf>
    <xf numFmtId="200" fontId="0" fillId="33" borderId="0" xfId="0" applyNumberFormat="1" applyFont="1" applyFill="1" applyBorder="1" applyAlignment="1" applyProtection="1">
      <alignment horizontal="center"/>
      <protection hidden="1"/>
    </xf>
    <xf numFmtId="209" fontId="0" fillId="33" borderId="0" xfId="0" applyNumberFormat="1" applyFont="1" applyFill="1" applyBorder="1" applyAlignment="1" applyProtection="1">
      <alignment horizontal="center"/>
      <protection hidden="1"/>
    </xf>
    <xf numFmtId="199" fontId="0" fillId="33" borderId="23" xfId="55" applyNumberFormat="1" applyFont="1" applyFill="1" applyBorder="1" applyAlignment="1" applyProtection="1">
      <alignment horizontal="right"/>
      <protection hidden="1"/>
    </xf>
    <xf numFmtId="206" fontId="0" fillId="33" borderId="0" xfId="49" applyNumberFormat="1" applyFont="1" applyFill="1" applyBorder="1" applyAlignment="1" applyProtection="1">
      <alignment/>
      <protection hidden="1"/>
    </xf>
    <xf numFmtId="187" fontId="0" fillId="33" borderId="0" xfId="0" applyNumberFormat="1" applyFont="1" applyFill="1" applyBorder="1" applyAlignment="1" applyProtection="1">
      <alignment/>
      <protection hidden="1"/>
    </xf>
    <xf numFmtId="212" fontId="0" fillId="33" borderId="0" xfId="0" applyNumberFormat="1" applyFont="1" applyFill="1" applyBorder="1" applyAlignment="1" applyProtection="1">
      <alignment horizontal="center"/>
      <protection hidden="1"/>
    </xf>
    <xf numFmtId="209" fontId="0" fillId="33" borderId="25" xfId="0" applyNumberFormat="1" applyFont="1" applyFill="1" applyBorder="1" applyAlignment="1" applyProtection="1">
      <alignment horizontal="center"/>
      <protection hidden="1"/>
    </xf>
    <xf numFmtId="210" fontId="0" fillId="33" borderId="0" xfId="0" applyNumberFormat="1" applyFont="1" applyFill="1" applyBorder="1" applyAlignment="1" applyProtection="1">
      <alignment horizontal="center"/>
      <protection hidden="1"/>
    </xf>
    <xf numFmtId="214" fontId="0" fillId="33" borderId="0" xfId="0" applyNumberFormat="1" applyFont="1" applyFill="1" applyBorder="1" applyAlignment="1" applyProtection="1">
      <alignment horizontal="center"/>
      <protection hidden="1"/>
    </xf>
    <xf numFmtId="199" fontId="13" fillId="35" borderId="26" xfId="0" applyNumberFormat="1" applyFont="1" applyFill="1" applyBorder="1" applyAlignment="1" applyProtection="1">
      <alignment horizontal="right" indent="1"/>
      <protection hidden="1" locked="0"/>
    </xf>
    <xf numFmtId="204" fontId="12" fillId="35" borderId="26" xfId="49" applyNumberFormat="1" applyFont="1" applyFill="1" applyBorder="1" applyAlignment="1" applyProtection="1">
      <alignment horizontal="right" indent="1"/>
      <protection hidden="1" locked="0"/>
    </xf>
    <xf numFmtId="213" fontId="8" fillId="35" borderId="26" xfId="49" applyNumberFormat="1" applyFont="1" applyFill="1" applyBorder="1" applyAlignment="1" applyProtection="1">
      <alignment horizontal="right" indent="1"/>
      <protection hidden="1" locked="0"/>
    </xf>
    <xf numFmtId="14" fontId="12" fillId="35" borderId="39" xfId="0" applyNumberFormat="1" applyFont="1" applyFill="1" applyBorder="1" applyAlignment="1" applyProtection="1">
      <alignment horizontal="center"/>
      <protection hidden="1" locked="0"/>
    </xf>
    <xf numFmtId="0" fontId="10" fillId="33" borderId="40" xfId="0" applyFont="1" applyFill="1" applyBorder="1" applyAlignment="1" applyProtection="1">
      <alignment/>
      <protection hidden="1"/>
    </xf>
    <xf numFmtId="198" fontId="14" fillId="0" borderId="41" xfId="55" applyNumberFormat="1" applyFont="1" applyFill="1" applyBorder="1" applyAlignment="1" applyProtection="1">
      <alignment horizontal="center"/>
      <protection hidden="1"/>
    </xf>
    <xf numFmtId="0" fontId="14" fillId="0" borderId="41" xfId="0" applyFont="1" applyFill="1" applyBorder="1" applyAlignment="1" applyProtection="1">
      <alignment horizontal="center"/>
      <protection hidden="1"/>
    </xf>
    <xf numFmtId="0" fontId="14" fillId="0" borderId="42" xfId="0" applyFont="1" applyFill="1" applyBorder="1" applyAlignment="1" applyProtection="1">
      <alignment horizontal="center"/>
      <protection hidden="1"/>
    </xf>
    <xf numFmtId="0" fontId="0" fillId="0" borderId="0" xfId="0" applyFont="1" applyFill="1" applyAlignment="1" applyProtection="1">
      <alignment/>
      <protection hidden="1"/>
    </xf>
    <xf numFmtId="14" fontId="5" fillId="0" borderId="34" xfId="55" applyNumberFormat="1" applyFont="1" applyFill="1" applyBorder="1" applyAlignment="1" applyProtection="1">
      <alignment horizontal="center"/>
      <protection hidden="1"/>
    </xf>
    <xf numFmtId="202" fontId="5" fillId="0" borderId="43" xfId="55" applyNumberFormat="1" applyFont="1" applyFill="1" applyBorder="1" applyAlignment="1" applyProtection="1">
      <alignment horizontal="center"/>
      <protection hidden="1"/>
    </xf>
    <xf numFmtId="14" fontId="5" fillId="0" borderId="22" xfId="55" applyNumberFormat="1" applyFont="1" applyFill="1" applyBorder="1" applyAlignment="1" applyProtection="1">
      <alignment horizontal="center"/>
      <protection hidden="1"/>
    </xf>
    <xf numFmtId="202" fontId="5" fillId="0" borderId="44" xfId="55" applyNumberFormat="1" applyFont="1" applyFill="1" applyBorder="1" applyAlignment="1" applyProtection="1">
      <alignment horizontal="center"/>
      <protection hidden="1"/>
    </xf>
    <xf numFmtId="14" fontId="5" fillId="0" borderId="24" xfId="55" applyNumberFormat="1" applyFont="1" applyFill="1" applyBorder="1" applyAlignment="1" applyProtection="1">
      <alignment horizontal="center"/>
      <protection hidden="1"/>
    </xf>
    <xf numFmtId="202" fontId="5" fillId="0" borderId="45" xfId="55" applyNumberFormat="1" applyFont="1" applyFill="1" applyBorder="1" applyAlignment="1" applyProtection="1">
      <alignment horizontal="center"/>
      <protection hidden="1"/>
    </xf>
    <xf numFmtId="9" fontId="10" fillId="35" borderId="29" xfId="55" applyFont="1" applyFill="1" applyBorder="1" applyAlignment="1" applyProtection="1">
      <alignment horizontal="right" indent="1"/>
      <protection hidden="1" locked="0"/>
    </xf>
    <xf numFmtId="213" fontId="7" fillId="0" borderId="30" xfId="49" applyNumberFormat="1" applyFont="1" applyBorder="1" applyAlignment="1" applyProtection="1">
      <alignment horizontal="right" indent="1"/>
      <protection hidden="1"/>
    </xf>
    <xf numFmtId="0" fontId="16" fillId="0" borderId="0" xfId="46" applyFont="1" applyBorder="1" applyAlignment="1" applyProtection="1">
      <alignment horizontal="center" vertical="center"/>
      <protection hidden="1"/>
    </xf>
    <xf numFmtId="0" fontId="16" fillId="33" borderId="0" xfId="46" applyFont="1" applyFill="1" applyAlignment="1" applyProtection="1">
      <alignment horizontal="center" vertical="center"/>
      <protection hidden="1"/>
    </xf>
    <xf numFmtId="0" fontId="7" fillId="0" borderId="26" xfId="0" applyNumberFormat="1" applyFont="1" applyBorder="1" applyAlignment="1" applyProtection="1">
      <alignment horizontal="right" indent="1"/>
      <protection hidden="1"/>
    </xf>
    <xf numFmtId="0" fontId="17" fillId="0" borderId="0" xfId="0" applyFont="1" applyAlignment="1" applyProtection="1">
      <alignment/>
      <protection hidden="1"/>
    </xf>
    <xf numFmtId="2" fontId="17" fillId="33" borderId="0" xfId="0" applyNumberFormat="1" applyFont="1" applyFill="1" applyAlignment="1" applyProtection="1">
      <alignment horizontal="center"/>
      <protection hidden="1"/>
    </xf>
    <xf numFmtId="14" fontId="0" fillId="0" borderId="10" xfId="0" applyNumberFormat="1" applyFill="1" applyBorder="1" applyAlignment="1" applyProtection="1">
      <alignment horizontal="center"/>
      <protection hidden="1"/>
    </xf>
    <xf numFmtId="185" fontId="0" fillId="0" borderId="11" xfId="49" applyNumberFormat="1"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12" fontId="0" fillId="0" borderId="20" xfId="49"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87" fontId="0" fillId="0" borderId="10" xfId="0" applyNumberFormat="1" applyFont="1" applyFill="1" applyBorder="1" applyAlignment="1" applyProtection="1">
      <alignment/>
      <protection hidden="1"/>
    </xf>
    <xf numFmtId="187" fontId="0" fillId="0" borderId="11" xfId="0" applyNumberFormat="1" applyFont="1" applyFill="1" applyBorder="1" applyAlignment="1" applyProtection="1">
      <alignment/>
      <protection hidden="1"/>
    </xf>
    <xf numFmtId="187" fontId="0" fillId="0" borderId="14" xfId="0" applyNumberFormat="1" applyFont="1" applyFill="1" applyBorder="1" applyAlignment="1" applyProtection="1">
      <alignment/>
      <protection hidden="1"/>
    </xf>
    <xf numFmtId="0" fontId="0" fillId="0" borderId="0" xfId="0" applyFont="1" applyFill="1" applyAlignment="1" applyProtection="1">
      <alignment/>
      <protection hidden="1"/>
    </xf>
    <xf numFmtId="187" fontId="0" fillId="33" borderId="10" xfId="49" applyNumberFormat="1" applyFont="1" applyFill="1" applyBorder="1" applyAlignment="1" applyProtection="1">
      <alignment/>
      <protection hidden="1" locked="0"/>
    </xf>
    <xf numFmtId="14" fontId="0" fillId="37" borderId="10" xfId="0" applyNumberFormat="1" applyFill="1" applyBorder="1" applyAlignment="1" applyProtection="1">
      <alignment horizontal="center"/>
      <protection hidden="1"/>
    </xf>
    <xf numFmtId="185" fontId="0" fillId="37" borderId="11" xfId="49" applyNumberFormat="1" applyFont="1" applyFill="1" applyBorder="1" applyAlignment="1" applyProtection="1">
      <alignment horizontal="center"/>
      <protection hidden="1"/>
    </xf>
    <xf numFmtId="207" fontId="0" fillId="37" borderId="11" xfId="55" applyNumberFormat="1" applyFont="1" applyFill="1" applyBorder="1" applyAlignment="1" applyProtection="1">
      <alignment/>
      <protection hidden="1"/>
    </xf>
    <xf numFmtId="212" fontId="0" fillId="37" borderId="11" xfId="49" applyNumberFormat="1" applyFont="1" applyFill="1" applyBorder="1" applyAlignment="1" applyProtection="1">
      <alignment/>
      <protection hidden="1"/>
    </xf>
    <xf numFmtId="212" fontId="0" fillId="37" borderId="11" xfId="49" applyNumberFormat="1" applyFont="1" applyFill="1" applyBorder="1" applyAlignment="1" applyProtection="1">
      <alignment horizontal="right"/>
      <protection hidden="1"/>
    </xf>
    <xf numFmtId="212" fontId="0" fillId="37" borderId="20" xfId="49" applyNumberFormat="1" applyFont="1" applyFill="1" applyBorder="1" applyAlignment="1" applyProtection="1">
      <alignment horizontal="right"/>
      <protection hidden="1"/>
    </xf>
    <xf numFmtId="14" fontId="0" fillId="37" borderId="11"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4" xfId="0" applyFont="1" applyFill="1" applyBorder="1" applyAlignment="1" applyProtection="1">
      <alignment horizontal="center"/>
      <protection hidden="1"/>
    </xf>
    <xf numFmtId="187" fontId="0" fillId="37" borderId="10" xfId="0" applyNumberFormat="1" applyFont="1" applyFill="1" applyBorder="1" applyAlignment="1" applyProtection="1">
      <alignment/>
      <protection hidden="1"/>
    </xf>
    <xf numFmtId="187" fontId="0" fillId="37" borderId="11" xfId="0" applyNumberFormat="1" applyFont="1" applyFill="1" applyBorder="1" applyAlignment="1" applyProtection="1">
      <alignment/>
      <protection hidden="1"/>
    </xf>
    <xf numFmtId="187" fontId="0" fillId="37" borderId="14" xfId="0" applyNumberFormat="1" applyFont="1" applyFill="1" applyBorder="1" applyAlignment="1" applyProtection="1">
      <alignment/>
      <protection hidden="1"/>
    </xf>
    <xf numFmtId="0" fontId="0" fillId="37" borderId="0" xfId="0" applyFont="1" applyFill="1" applyAlignment="1" applyProtection="1">
      <alignment/>
      <protection hidden="1"/>
    </xf>
    <xf numFmtId="0" fontId="0" fillId="38" borderId="0" xfId="0" applyFont="1" applyFill="1" applyAlignment="1" applyProtection="1">
      <alignmen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4" fontId="62" fillId="35" borderId="27" xfId="0" applyNumberFormat="1" applyFont="1" applyFill="1" applyBorder="1" applyAlignment="1" applyProtection="1">
      <alignment horizontal="center"/>
      <protection hidden="1" locked="0"/>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4" fontId="0" fillId="38" borderId="10" xfId="0" applyNumberFormat="1" applyFill="1" applyBorder="1" applyAlignment="1" applyProtection="1">
      <alignment horizontal="center"/>
      <protection hidden="1"/>
    </xf>
    <xf numFmtId="185" fontId="0" fillId="38" borderId="11" xfId="49" applyNumberFormat="1" applyFont="1" applyFill="1" applyBorder="1" applyAlignment="1" applyProtection="1">
      <alignment horizontal="center"/>
      <protection hidden="1"/>
    </xf>
    <xf numFmtId="212" fontId="0" fillId="38" borderId="20" xfId="49" applyNumberFormat="1" applyFont="1" applyFill="1" applyBorder="1" applyAlignment="1" applyProtection="1">
      <alignment horizontal="right"/>
      <protection hidden="1"/>
    </xf>
    <xf numFmtId="14" fontId="0" fillId="38" borderId="11"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4" xfId="0" applyFont="1" applyFill="1" applyBorder="1" applyAlignment="1" applyProtection="1">
      <alignment horizontal="center"/>
      <protection hidden="1"/>
    </xf>
    <xf numFmtId="187" fontId="0" fillId="38" borderId="10" xfId="0" applyNumberFormat="1" applyFont="1" applyFill="1" applyBorder="1" applyAlignment="1" applyProtection="1">
      <alignment/>
      <protection hidden="1"/>
    </xf>
    <xf numFmtId="187" fontId="0" fillId="38" borderId="11" xfId="0" applyNumberFormat="1" applyFont="1" applyFill="1" applyBorder="1" applyAlignment="1" applyProtection="1">
      <alignment/>
      <protection hidden="1"/>
    </xf>
    <xf numFmtId="187" fontId="0" fillId="38" borderId="14" xfId="0" applyNumberFormat="1" applyFont="1" applyFill="1" applyBorder="1" applyAlignment="1" applyProtection="1">
      <alignmen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97" fontId="0" fillId="0" borderId="41" xfId="49" applyFont="1" applyBorder="1" applyAlignment="1" applyProtection="1">
      <alignment/>
      <protection hidden="1"/>
    </xf>
    <xf numFmtId="207" fontId="0" fillId="38" borderId="11" xfId="55" applyNumberFormat="1" applyFont="1" applyFill="1" applyBorder="1" applyAlignment="1" applyProtection="1">
      <alignment/>
      <protection hidden="1"/>
    </xf>
    <xf numFmtId="212" fontId="0" fillId="38" borderId="11" xfId="49" applyNumberFormat="1" applyFont="1" applyFill="1" applyBorder="1" applyAlignment="1" applyProtection="1">
      <alignment/>
      <protection hidden="1"/>
    </xf>
    <xf numFmtId="212" fontId="0" fillId="38" borderId="11" xfId="49" applyNumberFormat="1" applyFont="1" applyFill="1" applyBorder="1" applyAlignment="1" applyProtection="1">
      <alignment horizontal="right"/>
      <protection hidden="1"/>
    </xf>
    <xf numFmtId="207" fontId="0" fillId="37" borderId="11" xfId="55" applyNumberFormat="1" applyFont="1" applyFill="1" applyBorder="1" applyAlignment="1" applyProtection="1">
      <alignment/>
      <protection hidden="1"/>
    </xf>
    <xf numFmtId="212" fontId="0" fillId="37" borderId="11" xfId="49" applyNumberFormat="1" applyFont="1" applyFill="1" applyBorder="1" applyAlignment="1" applyProtection="1">
      <alignment/>
      <protection hidden="1"/>
    </xf>
    <xf numFmtId="212" fontId="0" fillId="37" borderId="11" xfId="49" applyNumberFormat="1" applyFont="1" applyFill="1" applyBorder="1" applyAlignment="1" applyProtection="1">
      <alignment horizontal="right"/>
      <protection hidden="1"/>
    </xf>
    <xf numFmtId="0" fontId="63" fillId="36" borderId="46" xfId="0" applyFont="1" applyFill="1" applyBorder="1" applyAlignment="1" applyProtection="1">
      <alignment horizontal="left"/>
      <protection hidden="1"/>
    </xf>
    <xf numFmtId="0" fontId="19" fillId="0" borderId="40" xfId="0" applyFont="1" applyBorder="1" applyAlignment="1" applyProtection="1">
      <alignment/>
      <protection hidden="1"/>
    </xf>
    <xf numFmtId="0" fontId="18" fillId="36" borderId="28" xfId="0" applyFont="1" applyFill="1" applyBorder="1" applyAlignment="1" applyProtection="1">
      <alignment horizontal="left"/>
      <protection hidden="1"/>
    </xf>
    <xf numFmtId="0" fontId="19" fillId="0" borderId="47" xfId="0" applyFont="1" applyBorder="1" applyAlignment="1" applyProtection="1">
      <alignment/>
      <protection hidden="1"/>
    </xf>
    <xf numFmtId="14" fontId="19" fillId="0" borderId="48" xfId="0" applyNumberFormat="1" applyFont="1" applyBorder="1" applyAlignment="1" applyProtection="1">
      <alignment/>
      <protection hidden="1"/>
    </xf>
    <xf numFmtId="14" fontId="19" fillId="0" borderId="47" xfId="0" applyNumberFormat="1" applyFont="1" applyBorder="1" applyAlignment="1" applyProtection="1">
      <alignment/>
      <protection hidden="1"/>
    </xf>
    <xf numFmtId="14" fontId="19" fillId="0" borderId="49" xfId="0" applyNumberFormat="1" applyFont="1" applyBorder="1" applyAlignment="1" applyProtection="1">
      <alignment/>
      <protection hidden="1"/>
    </xf>
    <xf numFmtId="0" fontId="19" fillId="0" borderId="0" xfId="0" applyFont="1" applyBorder="1" applyAlignment="1" applyProtection="1">
      <alignment/>
      <protection hidden="1"/>
    </xf>
    <xf numFmtId="0" fontId="64" fillId="33" borderId="48" xfId="0" applyFont="1" applyFill="1" applyBorder="1" applyAlignment="1" applyProtection="1">
      <alignment/>
      <protection hidden="1"/>
    </xf>
    <xf numFmtId="0" fontId="64" fillId="33" borderId="47" xfId="0" applyFont="1" applyFill="1" applyBorder="1" applyAlignment="1" applyProtection="1">
      <alignment/>
      <protection hidden="1"/>
    </xf>
    <xf numFmtId="0" fontId="20" fillId="33" borderId="47" xfId="0" applyFont="1" applyFill="1" applyBorder="1" applyAlignment="1" applyProtection="1">
      <alignment/>
      <protection hidden="1"/>
    </xf>
    <xf numFmtId="0" fontId="20" fillId="33" borderId="49" xfId="0" applyFont="1" applyFill="1" applyBorder="1" applyAlignment="1" applyProtection="1">
      <alignment/>
      <protection hidden="1"/>
    </xf>
    <xf numFmtId="0" fontId="20" fillId="35" borderId="48" xfId="0" applyFont="1" applyFill="1" applyBorder="1" applyAlignment="1" applyProtection="1">
      <alignment/>
      <protection hidden="1"/>
    </xf>
    <xf numFmtId="0" fontId="15" fillId="35" borderId="48" xfId="0" applyFont="1" applyFill="1" applyBorder="1" applyAlignment="1" applyProtection="1">
      <alignment/>
      <protection hidden="1"/>
    </xf>
    <xf numFmtId="0" fontId="64" fillId="35" borderId="47" xfId="0" applyFont="1" applyFill="1" applyBorder="1" applyAlignment="1" applyProtection="1">
      <alignment/>
      <protection hidden="1"/>
    </xf>
    <xf numFmtId="0" fontId="20" fillId="35" borderId="47" xfId="0" applyFont="1" applyFill="1" applyBorder="1" applyAlignment="1" applyProtection="1">
      <alignment/>
      <protection hidden="1"/>
    </xf>
    <xf numFmtId="0" fontId="19" fillId="0" borderId="49" xfId="0" applyFont="1" applyBorder="1" applyAlignment="1" applyProtection="1">
      <alignment/>
      <protection hidden="1"/>
    </xf>
    <xf numFmtId="0" fontId="15" fillId="35" borderId="0" xfId="0" applyFont="1" applyFill="1" applyBorder="1" applyAlignment="1" applyProtection="1">
      <alignment horizontal="center" vertical="center" wrapText="1"/>
      <protection hidden="1"/>
    </xf>
    <xf numFmtId="2" fontId="65" fillId="39" borderId="33" xfId="56" applyNumberFormat="1" applyFont="1" applyFill="1" applyBorder="1" applyAlignment="1" applyProtection="1">
      <alignment horizontal="center" vertical="center" wrapText="1"/>
      <protection hidden="1"/>
    </xf>
    <xf numFmtId="198" fontId="65" fillId="39" borderId="16" xfId="56" applyNumberFormat="1" applyFont="1" applyFill="1" applyBorder="1" applyAlignment="1" applyProtection="1">
      <alignment horizontal="center" vertical="center" wrapText="1"/>
      <protection hidden="1"/>
    </xf>
    <xf numFmtId="2" fontId="65" fillId="39" borderId="16" xfId="56" applyNumberFormat="1" applyFont="1" applyFill="1" applyBorder="1" applyAlignment="1" applyProtection="1">
      <alignment horizontal="center" vertical="center" wrapText="1"/>
      <protection hidden="1"/>
    </xf>
    <xf numFmtId="198" fontId="65" fillId="39" borderId="17" xfId="56" applyNumberFormat="1" applyFont="1" applyFill="1" applyBorder="1" applyAlignment="1" applyProtection="1">
      <alignment horizontal="center" vertical="center" wrapText="1"/>
      <protection hidden="1"/>
    </xf>
    <xf numFmtId="0" fontId="65" fillId="39" borderId="16" xfId="0" applyFont="1" applyFill="1" applyBorder="1" applyAlignment="1" applyProtection="1">
      <alignment horizontal="center" vertical="center" wrapText="1"/>
      <protection hidden="1"/>
    </xf>
    <xf numFmtId="0" fontId="65" fillId="39" borderId="13" xfId="0" applyFont="1" applyFill="1" applyBorder="1" applyAlignment="1" applyProtection="1">
      <alignment horizontal="center" vertical="center" wrapText="1"/>
      <protection hidden="1"/>
    </xf>
    <xf numFmtId="0" fontId="65" fillId="39" borderId="18" xfId="0" applyFont="1" applyFill="1" applyBorder="1" applyAlignment="1" applyProtection="1">
      <alignment horizontal="center" vertical="center" wrapText="1"/>
      <protection hidden="1"/>
    </xf>
    <xf numFmtId="2" fontId="65" fillId="39" borderId="18" xfId="56" applyNumberFormat="1" applyFont="1" applyFill="1" applyBorder="1" applyAlignment="1" applyProtection="1">
      <alignment horizontal="center" vertical="center" wrapText="1"/>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87" fontId="0" fillId="0" borderId="10" xfId="49" applyNumberFormat="1" applyFont="1" applyFill="1" applyBorder="1" applyAlignment="1" applyProtection="1">
      <alignment/>
      <protection hidden="1"/>
    </xf>
    <xf numFmtId="0" fontId="66" fillId="0" borderId="0" xfId="0" applyFont="1" applyFill="1" applyBorder="1" applyAlignment="1" applyProtection="1">
      <alignment horizontal="center"/>
      <protection hidden="1"/>
    </xf>
    <xf numFmtId="198" fontId="66" fillId="0" borderId="43" xfId="55" applyNumberFormat="1" applyFont="1" applyFill="1" applyBorder="1" applyAlignment="1" applyProtection="1">
      <alignment horizontal="center"/>
      <protection hidden="1"/>
    </xf>
    <xf numFmtId="198" fontId="66" fillId="0" borderId="44" xfId="55" applyNumberFormat="1" applyFont="1" applyFill="1" applyBorder="1" applyAlignment="1" applyProtection="1">
      <alignment horizontal="center"/>
      <protection hidden="1"/>
    </xf>
    <xf numFmtId="198" fontId="66" fillId="0" borderId="41" xfId="55" applyNumberFormat="1" applyFont="1" applyFill="1" applyBorder="1" applyAlignment="1" applyProtection="1">
      <alignment horizontal="center"/>
      <protection hidden="1"/>
    </xf>
    <xf numFmtId="198" fontId="66" fillId="0" borderId="45" xfId="55" applyNumberFormat="1" applyFont="1" applyFill="1" applyBorder="1" applyAlignment="1" applyProtection="1">
      <alignment horizontal="center"/>
      <protection hidden="1"/>
    </xf>
    <xf numFmtId="207" fontId="66" fillId="0" borderId="0" xfId="0" applyNumberFormat="1" applyFont="1" applyFill="1" applyBorder="1" applyAlignment="1" applyProtection="1">
      <alignment horizontal="center"/>
      <protection hidden="1"/>
    </xf>
    <xf numFmtId="14" fontId="66" fillId="0" borderId="22" xfId="0" applyNumberFormat="1" applyFont="1" applyFill="1" applyBorder="1" applyAlignment="1">
      <alignment horizontal="center"/>
    </xf>
    <xf numFmtId="227" fontId="66" fillId="0" borderId="0" xfId="0" applyNumberFormat="1" applyFont="1" applyFill="1" applyBorder="1" applyAlignment="1" applyProtection="1">
      <alignment horizontal="center"/>
      <protection hidden="1"/>
    </xf>
    <xf numFmtId="197" fontId="0" fillId="0" borderId="0" xfId="49" applyFont="1" applyFill="1" applyAlignment="1" applyProtection="1">
      <alignment/>
      <protection hidden="1"/>
    </xf>
    <xf numFmtId="197" fontId="0" fillId="40" borderId="0" xfId="49" applyFont="1" applyFill="1" applyAlignment="1" applyProtection="1">
      <alignment/>
      <protection hidden="1"/>
    </xf>
    <xf numFmtId="0" fontId="0" fillId="40" borderId="0" xfId="0" applyFont="1" applyFill="1" applyAlignment="1" applyProtection="1">
      <alignment/>
      <protection hidden="1"/>
    </xf>
    <xf numFmtId="207" fontId="0" fillId="33" borderId="11" xfId="55" applyNumberFormat="1" applyFont="1" applyFill="1" applyBorder="1" applyAlignment="1" applyProtection="1">
      <alignment/>
      <protection hidden="1"/>
    </xf>
    <xf numFmtId="212" fontId="0" fillId="33" borderId="11" xfId="49" applyNumberFormat="1" applyFont="1" applyFill="1" applyBorder="1" applyAlignment="1" applyProtection="1">
      <alignment/>
      <protection hidden="1"/>
    </xf>
    <xf numFmtId="212" fontId="0" fillId="33" borderId="11" xfId="49" applyNumberFormat="1" applyFont="1" applyFill="1" applyBorder="1" applyAlignment="1" applyProtection="1">
      <alignment horizontal="right"/>
      <protection hidden="1"/>
    </xf>
    <xf numFmtId="14" fontId="66" fillId="33" borderId="22" xfId="0" applyNumberFormat="1" applyFont="1" applyFill="1" applyBorder="1" applyAlignment="1">
      <alignment horizontal="center"/>
    </xf>
    <xf numFmtId="207" fontId="66" fillId="33" borderId="0" xfId="0" applyNumberFormat="1" applyFont="1" applyFill="1" applyBorder="1" applyAlignment="1" applyProtection="1">
      <alignment horizontal="center"/>
      <protection hidden="1"/>
    </xf>
    <xf numFmtId="0" fontId="66" fillId="33" borderId="0" xfId="0" applyFont="1" applyFill="1" applyBorder="1" applyAlignment="1" applyProtection="1">
      <alignment horizontal="center"/>
      <protection hidden="1"/>
    </xf>
    <xf numFmtId="14" fontId="0" fillId="40" borderId="10" xfId="0" applyNumberFormat="1" applyFill="1" applyBorder="1" applyAlignment="1" applyProtection="1">
      <alignment horizontal="center"/>
      <protection hidden="1"/>
    </xf>
    <xf numFmtId="185" fontId="0" fillId="40" borderId="11" xfId="49" applyNumberFormat="1" applyFont="1" applyFill="1" applyBorder="1" applyAlignment="1" applyProtection="1">
      <alignment horizontal="center"/>
      <protection hidden="1"/>
    </xf>
    <xf numFmtId="212" fontId="0" fillId="40" borderId="20" xfId="49" applyNumberFormat="1" applyFont="1" applyFill="1" applyBorder="1" applyAlignment="1" applyProtection="1">
      <alignment horizontal="right"/>
      <protection hidden="1"/>
    </xf>
    <xf numFmtId="14" fontId="0" fillId="40" borderId="11" xfId="0" applyNumberFormat="1"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0" fillId="40" borderId="14" xfId="0" applyFont="1" applyFill="1" applyBorder="1" applyAlignment="1" applyProtection="1">
      <alignment horizontal="center"/>
      <protection hidden="1"/>
    </xf>
    <xf numFmtId="187" fontId="0" fillId="40" borderId="10" xfId="0" applyNumberFormat="1" applyFont="1" applyFill="1" applyBorder="1" applyAlignment="1" applyProtection="1">
      <alignment/>
      <protection hidden="1"/>
    </xf>
    <xf numFmtId="187" fontId="0" fillId="40" borderId="11" xfId="0" applyNumberFormat="1" applyFont="1" applyFill="1" applyBorder="1" applyAlignment="1" applyProtection="1">
      <alignment/>
      <protection hidden="1"/>
    </xf>
    <xf numFmtId="187" fontId="0" fillId="40" borderId="14" xfId="0" applyNumberFormat="1" applyFont="1" applyFill="1" applyBorder="1" applyAlignment="1" applyProtection="1">
      <alignment/>
      <protection hidden="1"/>
    </xf>
    <xf numFmtId="0" fontId="25" fillId="37" borderId="0" xfId="0" applyFont="1" applyFill="1" applyAlignment="1">
      <alignment/>
    </xf>
    <xf numFmtId="207" fontId="25" fillId="0" borderId="0" xfId="0" applyNumberFormat="1" applyFont="1" applyAlignment="1">
      <alignment/>
    </xf>
    <xf numFmtId="0" fontId="25" fillId="0" borderId="0" xfId="0" applyFont="1" applyAlignment="1">
      <alignment/>
    </xf>
    <xf numFmtId="210" fontId="25" fillId="37" borderId="0" xfId="49" applyNumberFormat="1" applyFont="1" applyFill="1" applyBorder="1" applyAlignment="1">
      <alignment/>
    </xf>
    <xf numFmtId="210" fontId="25" fillId="0" borderId="0" xfId="49" applyNumberFormat="1" applyFont="1" applyFill="1" applyBorder="1" applyAlignment="1">
      <alignment/>
    </xf>
    <xf numFmtId="207" fontId="25" fillId="37" borderId="0" xfId="0" applyNumberFormat="1" applyFont="1" applyFill="1" applyAlignment="1">
      <alignment/>
    </xf>
    <xf numFmtId="0" fontId="25" fillId="41" borderId="0" xfId="0" applyFont="1" applyFill="1" applyAlignment="1">
      <alignment/>
    </xf>
    <xf numFmtId="207" fontId="25" fillId="41" borderId="0" xfId="0" applyNumberFormat="1" applyFont="1" applyFill="1" applyAlignment="1">
      <alignment/>
    </xf>
    <xf numFmtId="223" fontId="25" fillId="41" borderId="0" xfId="0" applyNumberFormat="1" applyFont="1" applyFill="1" applyAlignment="1">
      <alignment/>
    </xf>
    <xf numFmtId="223" fontId="25" fillId="0" borderId="0" xfId="0" applyNumberFormat="1" applyFont="1" applyAlignment="1">
      <alignment/>
    </xf>
    <xf numFmtId="14" fontId="66" fillId="40" borderId="22" xfId="0" applyNumberFormat="1" applyFont="1" applyFill="1" applyBorder="1" applyAlignment="1">
      <alignment horizontal="center"/>
    </xf>
    <xf numFmtId="207" fontId="66" fillId="40" borderId="0" xfId="0" applyNumberFormat="1"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0" fontId="25" fillId="0" borderId="0" xfId="0" applyFont="1" applyFill="1" applyAlignment="1">
      <alignment/>
    </xf>
    <xf numFmtId="0" fontId="25" fillId="40" borderId="0" xfId="0" applyFont="1" applyFill="1" applyAlignment="1">
      <alignment/>
    </xf>
    <xf numFmtId="0" fontId="66" fillId="40" borderId="0" xfId="0"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33" borderId="50" xfId="56" applyNumberFormat="1" applyFont="1" applyFill="1" applyBorder="1" applyAlignment="1">
      <alignment/>
    </xf>
    <xf numFmtId="207" fontId="0" fillId="33" borderId="51" xfId="56" applyNumberFormat="1" applyFont="1" applyFill="1" applyBorder="1" applyAlignment="1">
      <alignment/>
    </xf>
    <xf numFmtId="207" fontId="0" fillId="0" borderId="50" xfId="56" applyNumberFormat="1" applyFont="1" applyFill="1" applyBorder="1" applyAlignment="1">
      <alignment/>
    </xf>
    <xf numFmtId="207" fontId="0" fillId="40" borderId="50" xfId="56" applyNumberFormat="1" applyFont="1" applyFill="1" applyBorder="1" applyAlignment="1">
      <alignment/>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24" fillId="37" borderId="11" xfId="55" applyNumberFormat="1" applyFont="1" applyFill="1" applyBorder="1" applyAlignment="1" applyProtection="1">
      <alignment horizontal="center"/>
      <protection/>
    </xf>
    <xf numFmtId="207" fontId="24" fillId="37" borderId="14" xfId="55" applyNumberFormat="1" applyFont="1" applyFill="1" applyBorder="1" applyAlignment="1" applyProtection="1">
      <alignment horizontal="center"/>
      <protection/>
    </xf>
    <xf numFmtId="207" fontId="24" fillId="0" borderId="11" xfId="55" applyNumberFormat="1" applyFont="1" applyFill="1" applyBorder="1" applyAlignment="1" applyProtection="1">
      <alignment horizontal="center"/>
      <protection/>
    </xf>
    <xf numFmtId="207" fontId="24" fillId="0" borderId="14" xfId="55" applyNumberFormat="1" applyFont="1" applyFill="1" applyBorder="1" applyAlignment="1" applyProtection="1">
      <alignment horizontal="center"/>
      <protection/>
    </xf>
    <xf numFmtId="0" fontId="24" fillId="0" borderId="0" xfId="0" applyFont="1" applyAlignment="1">
      <alignment/>
    </xf>
    <xf numFmtId="207" fontId="24" fillId="41" borderId="11" xfId="55" applyNumberFormat="1" applyFont="1" applyFill="1" applyBorder="1" applyAlignment="1" applyProtection="1">
      <alignment horizontal="center"/>
      <protection/>
    </xf>
    <xf numFmtId="207" fontId="24" fillId="41" borderId="14" xfId="55" applyNumberFormat="1" applyFont="1" applyFill="1" applyBorder="1" applyAlignment="1" applyProtection="1">
      <alignment horizontal="center"/>
      <protection/>
    </xf>
    <xf numFmtId="207" fontId="24" fillId="33" borderId="21" xfId="55" applyNumberFormat="1" applyFont="1" applyFill="1" applyBorder="1" applyAlignment="1" applyProtection="1">
      <alignment horizontal="center"/>
      <protection/>
    </xf>
    <xf numFmtId="207" fontId="24" fillId="33" borderId="15" xfId="55" applyNumberFormat="1" applyFont="1" applyFill="1" applyBorder="1" applyAlignment="1" applyProtection="1">
      <alignment horizontal="center"/>
      <protection/>
    </xf>
    <xf numFmtId="207" fontId="24" fillId="40" borderId="11" xfId="55" applyNumberFormat="1" applyFont="1" applyFill="1" applyBorder="1" applyAlignment="1" applyProtection="1">
      <alignment horizontal="center"/>
      <protection/>
    </xf>
    <xf numFmtId="207" fontId="24" fillId="40" borderId="14" xfId="55" applyNumberFormat="1" applyFont="1" applyFill="1" applyBorder="1" applyAlignment="1" applyProtection="1">
      <alignment horizontal="center"/>
      <protection/>
    </xf>
    <xf numFmtId="210" fontId="25" fillId="40" borderId="0" xfId="49" applyNumberFormat="1" applyFont="1" applyFill="1" applyBorder="1" applyAlignment="1">
      <alignment/>
    </xf>
    <xf numFmtId="0" fontId="18" fillId="36" borderId="0" xfId="0" applyFont="1" applyFill="1" applyBorder="1" applyAlignment="1" applyProtection="1">
      <alignment horizontal="center" vertical="center"/>
      <protection hidden="1"/>
    </xf>
    <xf numFmtId="0" fontId="18" fillId="36" borderId="46" xfId="0" applyFont="1" applyFill="1" applyBorder="1" applyAlignment="1" applyProtection="1">
      <alignment horizontal="center"/>
      <protection hidden="1"/>
    </xf>
    <xf numFmtId="0" fontId="18" fillId="36" borderId="27" xfId="0" applyFont="1" applyFill="1" applyBorder="1" applyAlignment="1" applyProtection="1">
      <alignment horizontal="center"/>
      <protection hidden="1"/>
    </xf>
    <xf numFmtId="0" fontId="63" fillId="36" borderId="52" xfId="0" applyFont="1" applyFill="1" applyBorder="1" applyAlignment="1" applyProtection="1">
      <alignment horizontal="center"/>
      <protection hidden="1"/>
    </xf>
    <xf numFmtId="0" fontId="63" fillId="36" borderId="29" xfId="0" applyFont="1" applyFill="1" applyBorder="1" applyAlignment="1" applyProtection="1">
      <alignment horizontal="center"/>
      <protection hidden="1"/>
    </xf>
    <xf numFmtId="0" fontId="6" fillId="36" borderId="12" xfId="0" applyFont="1" applyFill="1" applyBorder="1" applyAlignment="1" applyProtection="1">
      <alignment horizontal="center"/>
      <protection hidden="1"/>
    </xf>
    <xf numFmtId="0" fontId="6" fillId="36" borderId="42" xfId="0" applyFont="1" applyFill="1" applyBorder="1" applyAlignment="1" applyProtection="1">
      <alignment horizontal="center"/>
      <protection hidden="1"/>
    </xf>
    <xf numFmtId="0" fontId="0" fillId="33" borderId="0" xfId="0" applyNumberFormat="1" applyFill="1" applyAlignment="1" applyProtection="1">
      <alignment horizontal="justify" vertical="justify" wrapText="1"/>
      <protection hidden="1"/>
    </xf>
    <xf numFmtId="0" fontId="0" fillId="0" borderId="0" xfId="0" applyAlignment="1" applyProtection="1">
      <alignment horizontal="justify" vertical="justify" wrapText="1"/>
      <protection hidden="1"/>
    </xf>
    <xf numFmtId="0" fontId="66" fillId="0" borderId="12" xfId="0" applyFont="1" applyFill="1" applyBorder="1" applyAlignment="1" applyProtection="1">
      <alignment horizontal="center"/>
      <protection hidden="1"/>
    </xf>
    <xf numFmtId="0" fontId="66" fillId="0" borderId="42" xfId="0" applyFont="1" applyFill="1" applyBorder="1" applyAlignment="1" applyProtection="1">
      <alignment horizontal="center"/>
      <protection hidden="1"/>
    </xf>
    <xf numFmtId="198" fontId="67" fillId="0" borderId="43" xfId="55" applyNumberFormat="1" applyFont="1" applyFill="1" applyBorder="1" applyAlignment="1" applyProtection="1">
      <alignment horizontal="center" vertical="center" wrapText="1"/>
      <protection hidden="1"/>
    </xf>
    <xf numFmtId="0" fontId="67" fillId="0" borderId="45" xfId="0" applyFont="1" applyFill="1" applyBorder="1" applyAlignment="1" applyProtection="1">
      <alignment horizontal="center" vertical="center" wrapText="1"/>
      <protection hidden="1"/>
    </xf>
    <xf numFmtId="207" fontId="0" fillId="40" borderId="11" xfId="55" applyNumberFormat="1" applyFont="1" applyFill="1" applyBorder="1" applyAlignment="1" applyProtection="1">
      <alignment/>
      <protection hidden="1"/>
    </xf>
    <xf numFmtId="212" fontId="0" fillId="40" borderId="11" xfId="49" applyNumberFormat="1" applyFont="1" applyFill="1" applyBorder="1" applyAlignment="1" applyProtection="1">
      <alignment/>
      <protection hidden="1"/>
    </xf>
    <xf numFmtId="212" fontId="0" fillId="4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10" fontId="25" fillId="0" borderId="0" xfId="0" applyNumberFormat="1" applyFont="1" applyAlignment="1">
      <alignment/>
    </xf>
    <xf numFmtId="207" fontId="24" fillId="33" borderId="11" xfId="55" applyNumberFormat="1" applyFont="1" applyFill="1" applyBorder="1" applyAlignment="1" applyProtection="1">
      <alignment horizontal="center"/>
      <protection/>
    </xf>
    <xf numFmtId="207" fontId="24" fillId="33" borderId="14" xfId="55" applyNumberFormat="1" applyFont="1" applyFill="1" applyBorder="1" applyAlignment="1" applyProtection="1">
      <alignment horizontal="center"/>
      <protection/>
    </xf>
    <xf numFmtId="0" fontId="25" fillId="33" borderId="0" xfId="0"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8" xfId="56"/>
    <cellStyle name="Salida" xfId="57"/>
    <cellStyle name="Texto de advertencia" xfId="58"/>
    <cellStyle name="Texto explicativo" xfId="59"/>
    <cellStyle name="Título" xfId="60"/>
    <cellStyle name="Título 2" xfId="61"/>
    <cellStyle name="Título 3" xfId="62"/>
    <cellStyle name="Total" xfId="63"/>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180975</xdr:rowOff>
    </xdr:from>
    <xdr:to>
      <xdr:col>1</xdr:col>
      <xdr:colOff>2085975</xdr:colOff>
      <xdr:row>6</xdr:row>
      <xdr:rowOff>38100</xdr:rowOff>
    </xdr:to>
    <xdr:pic>
      <xdr:nvPicPr>
        <xdr:cNvPr id="1" name="1 Imagen"/>
        <xdr:cNvPicPr preferRelativeResize="1">
          <a:picLocks noChangeAspect="1"/>
        </xdr:cNvPicPr>
      </xdr:nvPicPr>
      <xdr:blipFill>
        <a:blip r:embed="rId1"/>
        <a:stretch>
          <a:fillRect/>
        </a:stretch>
      </xdr:blipFill>
      <xdr:spPr>
        <a:xfrm>
          <a:off x="0" y="180975"/>
          <a:ext cx="23336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L41"/>
  <sheetViews>
    <sheetView showGridLines="0" tabSelected="1" zoomScale="85" zoomScaleNormal="85" zoomScalePageLayoutView="0" workbookViewId="0" topLeftCell="A1">
      <selection activeCell="C8" sqref="C8"/>
    </sheetView>
  </sheetViews>
  <sheetFormatPr defaultColWidth="0" defaultRowHeight="12.75" zeroHeight="1"/>
  <cols>
    <col min="1" max="1" width="3.7109375" style="38" customWidth="1"/>
    <col min="2" max="2" width="52.28125" style="38" customWidth="1"/>
    <col min="3" max="3" width="36.00390625" style="38" customWidth="1"/>
    <col min="4" max="4" width="3.7109375" style="38" customWidth="1"/>
    <col min="5" max="5" width="67.7109375" style="38" customWidth="1"/>
    <col min="6" max="6" width="21.8515625" style="38" bestFit="1" customWidth="1"/>
    <col min="7" max="7" width="3.7109375" style="38" hidden="1" customWidth="1"/>
    <col min="8" max="8" width="24.421875" style="46" hidden="1" customWidth="1"/>
    <col min="9" max="10" width="14.28125" style="46" hidden="1" customWidth="1"/>
    <col min="11" max="11" width="12.140625" style="48" hidden="1" customWidth="1"/>
    <col min="12" max="12" width="14.28125" style="41" hidden="1" customWidth="1"/>
    <col min="13" max="16384" width="11.421875" style="41" hidden="1" customWidth="1"/>
  </cols>
  <sheetData>
    <row r="1" spans="1:11" ht="14.25">
      <c r="A1" s="39"/>
      <c r="B1" s="40"/>
      <c r="C1" s="40"/>
      <c r="D1" s="40"/>
      <c r="E1" s="40"/>
      <c r="F1" s="40"/>
      <c r="G1" s="40"/>
      <c r="H1" s="41" t="str">
        <f>+Características!B1</f>
        <v>TIPS Pesos N-20 A 2024</v>
      </c>
      <c r="I1" s="41"/>
      <c r="J1" s="42" t="s">
        <v>46</v>
      </c>
      <c r="K1" s="43"/>
    </row>
    <row r="2" spans="1:10" ht="14.25">
      <c r="A2" s="39"/>
      <c r="B2" s="44"/>
      <c r="C2" s="322" t="s">
        <v>83</v>
      </c>
      <c r="D2" s="322"/>
      <c r="E2" s="322"/>
      <c r="F2" s="45"/>
      <c r="G2" s="45"/>
      <c r="H2" s="46" t="str">
        <f>+Características!C1</f>
        <v>TIPS Pesos N-20 A 2034</v>
      </c>
      <c r="J2" s="47">
        <f>+Características!E2</f>
        <v>0</v>
      </c>
    </row>
    <row r="3" spans="1:10" ht="15" customHeight="1">
      <c r="A3" s="39"/>
      <c r="B3" s="49"/>
      <c r="C3" s="109"/>
      <c r="D3" s="109"/>
      <c r="E3" s="49"/>
      <c r="F3" s="49"/>
      <c r="G3" s="49"/>
      <c r="J3" s="70">
        <f>+Características!E3</f>
        <v>0</v>
      </c>
    </row>
    <row r="4" spans="1:10" ht="15" customHeight="1">
      <c r="A4" s="39"/>
      <c r="B4" s="50"/>
      <c r="C4" s="211" t="s">
        <v>51</v>
      </c>
      <c r="D4" s="51"/>
      <c r="E4" s="158" t="s">
        <v>85</v>
      </c>
      <c r="G4" s="52"/>
      <c r="H4" s="41" t="s">
        <v>20</v>
      </c>
      <c r="J4" s="70">
        <f>+Características!E4</f>
        <v>0</v>
      </c>
    </row>
    <row r="5" spans="1:10" ht="15" customHeight="1">
      <c r="A5" s="39"/>
      <c r="B5" s="39"/>
      <c r="C5" s="212"/>
      <c r="F5" s="52"/>
      <c r="G5" s="52"/>
      <c r="H5" s="41" t="s">
        <v>38</v>
      </c>
      <c r="J5" s="70">
        <f>+Características!E5</f>
        <v>0</v>
      </c>
    </row>
    <row r="6" spans="1:10" ht="15" customHeight="1">
      <c r="A6" s="39"/>
      <c r="B6" s="50"/>
      <c r="C6" s="213" t="s">
        <v>52</v>
      </c>
      <c r="D6" s="53"/>
      <c r="E6" s="108">
        <v>44777</v>
      </c>
      <c r="F6" s="52"/>
      <c r="G6" s="52"/>
      <c r="H6" s="41" t="s">
        <v>39</v>
      </c>
      <c r="J6" s="70">
        <f>+Características!E6</f>
        <v>0</v>
      </c>
    </row>
    <row r="7" spans="1:10" ht="15" customHeight="1">
      <c r="A7" s="39"/>
      <c r="B7" s="39"/>
      <c r="C7" s="54"/>
      <c r="D7" s="54"/>
      <c r="E7" s="52"/>
      <c r="F7" s="52"/>
      <c r="G7" s="52"/>
      <c r="H7" s="41" t="s">
        <v>40</v>
      </c>
      <c r="J7" s="70">
        <f>+Características!E7</f>
        <v>0</v>
      </c>
    </row>
    <row r="8" spans="1:10" ht="33.75" customHeight="1">
      <c r="A8" s="39"/>
      <c r="B8" s="39"/>
      <c r="D8" s="52"/>
      <c r="E8" s="122" t="s">
        <v>49</v>
      </c>
      <c r="F8" s="228" t="s">
        <v>74</v>
      </c>
      <c r="G8" s="52"/>
      <c r="H8" s="55">
        <v>0.2</v>
      </c>
      <c r="J8" s="70">
        <f>+Características!E8</f>
        <v>0</v>
      </c>
    </row>
    <row r="9" spans="1:10" ht="15" customHeight="1">
      <c r="A9" s="39"/>
      <c r="B9" s="323" t="s">
        <v>53</v>
      </c>
      <c r="C9" s="324"/>
      <c r="D9" s="214"/>
      <c r="E9" s="325" t="s">
        <v>54</v>
      </c>
      <c r="F9" s="326"/>
      <c r="G9" s="52"/>
      <c r="H9" s="41" t="s">
        <v>21</v>
      </c>
      <c r="J9" s="70">
        <f>+Características!E9</f>
        <v>0</v>
      </c>
    </row>
    <row r="10" spans="1:10" ht="15" customHeight="1">
      <c r="A10" s="39"/>
      <c r="B10" s="215" t="s">
        <v>55</v>
      </c>
      <c r="C10" s="56" t="str">
        <f>+HLOOKUP(E4,Características!B1:C7,2,FALSE)</f>
        <v>INST15041034</v>
      </c>
      <c r="D10" s="57"/>
      <c r="E10" s="224" t="s">
        <v>66</v>
      </c>
      <c r="F10" s="120" t="s">
        <v>21</v>
      </c>
      <c r="G10" s="52"/>
      <c r="J10" s="70">
        <f>+Características!E10</f>
        <v>0</v>
      </c>
    </row>
    <row r="11" spans="1:10" ht="15" customHeight="1">
      <c r="A11" s="50"/>
      <c r="B11" s="216" t="s">
        <v>47</v>
      </c>
      <c r="C11" s="124" t="str">
        <f>+HLOOKUP(E4,Características!B1:C7,3,FALSE)</f>
        <v>COF80TIXXXX</v>
      </c>
      <c r="D11" s="57"/>
      <c r="E11" s="225" t="s">
        <v>67</v>
      </c>
      <c r="F11" s="105">
        <v>0.0604</v>
      </c>
      <c r="G11" s="52"/>
      <c r="J11" s="70">
        <f>+Características!E11</f>
        <v>0</v>
      </c>
    </row>
    <row r="12" spans="1:10" ht="15" customHeight="1">
      <c r="A12" s="50"/>
      <c r="B12" s="216" t="s">
        <v>56</v>
      </c>
      <c r="C12" s="58">
        <f>+HLOOKUP(E4,Características!B1:C7,4,FALSE)</f>
        <v>43742</v>
      </c>
      <c r="D12" s="59"/>
      <c r="E12" s="226" t="s">
        <v>68</v>
      </c>
      <c r="F12" s="106">
        <v>100.012</v>
      </c>
      <c r="G12" s="52"/>
      <c r="J12" s="70">
        <f>+Características!E12</f>
        <v>0</v>
      </c>
    </row>
    <row r="13" spans="1:10" ht="14.25">
      <c r="A13" s="50"/>
      <c r="B13" s="216" t="s">
        <v>57</v>
      </c>
      <c r="C13" s="58">
        <f>+HLOOKUP(E4,Características!B1:C7,5,FALSE)</f>
        <v>49221</v>
      </c>
      <c r="D13" s="59"/>
      <c r="E13" s="227" t="s">
        <v>69</v>
      </c>
      <c r="F13" s="69">
        <v>100.012</v>
      </c>
      <c r="G13" s="52"/>
      <c r="J13" s="70">
        <f>+Características!E13</f>
        <v>0</v>
      </c>
    </row>
    <row r="14" spans="1:10" ht="14.25">
      <c r="A14" s="50"/>
      <c r="B14" s="216" t="s">
        <v>58</v>
      </c>
      <c r="C14" s="60">
        <f>+HLOOKUP(E4,Características!B1:C7,6,FALSE)</f>
        <v>0.0604</v>
      </c>
      <c r="D14" s="59"/>
      <c r="E14" s="215" t="s">
        <v>70</v>
      </c>
      <c r="F14" s="61">
        <f>+VLOOKUP(0,Flujos!D2:I182,6,FALSE)</f>
        <v>47212</v>
      </c>
      <c r="G14" s="52"/>
      <c r="J14" s="70">
        <f>+Características!E14</f>
        <v>0</v>
      </c>
    </row>
    <row r="15" spans="1:10" ht="14.25">
      <c r="A15" s="50"/>
      <c r="B15" s="216" t="s">
        <v>59</v>
      </c>
      <c r="C15" s="60">
        <f>+ROUND(((1+C14)^(1/12)-1)*12,6)</f>
        <v>0.05879</v>
      </c>
      <c r="D15" s="59"/>
      <c r="E15" s="214" t="s">
        <v>71</v>
      </c>
      <c r="F15" s="62">
        <f>+Flujos!C183*100</f>
        <v>70.40428099999998</v>
      </c>
      <c r="G15" s="52"/>
      <c r="J15" s="70">
        <f>+Características!E15</f>
        <v>0</v>
      </c>
    </row>
    <row r="16" spans="1:10" ht="14.25">
      <c r="A16" s="50"/>
      <c r="B16" s="217" t="s">
        <v>60</v>
      </c>
      <c r="C16" s="63" t="str">
        <f>+HLOOKUP(E4,Características!B1:C7,7,FALSE)</f>
        <v>COP</v>
      </c>
      <c r="D16" s="59"/>
      <c r="E16" s="225" t="s">
        <v>72</v>
      </c>
      <c r="F16" s="107">
        <v>199956192</v>
      </c>
      <c r="G16" s="52"/>
      <c r="J16" s="70">
        <f>+Características!E16</f>
        <v>0</v>
      </c>
    </row>
    <row r="17" spans="1:10" ht="14.25">
      <c r="A17" s="39"/>
      <c r="B17" s="218"/>
      <c r="C17" s="52"/>
      <c r="D17" s="59"/>
      <c r="E17" s="227" t="s">
        <v>73</v>
      </c>
      <c r="F17" s="121">
        <f>+Características!B20</f>
        <v>199980187</v>
      </c>
      <c r="G17" s="52"/>
      <c r="J17" s="70">
        <f>+Características!E17</f>
        <v>0</v>
      </c>
    </row>
    <row r="18" spans="1:10" ht="16.5" customHeight="1">
      <c r="A18" s="50"/>
      <c r="B18" s="219" t="s">
        <v>61</v>
      </c>
      <c r="C18" s="64">
        <f>+SUMPRODUCT(Flujos!B2:B182,Flujos!C2:C182)/Flujos!C183/365</f>
        <v>2.631042069144974</v>
      </c>
      <c r="D18" s="65"/>
      <c r="E18" s="52"/>
      <c r="F18" s="54"/>
      <c r="G18" s="52"/>
      <c r="J18" s="70">
        <f>+Características!E18</f>
        <v>0</v>
      </c>
    </row>
    <row r="19" spans="1:10" ht="16.5" customHeight="1">
      <c r="A19" s="50"/>
      <c r="B19" s="220" t="s">
        <v>62</v>
      </c>
      <c r="C19" s="66">
        <f>+SUMPRODUCT(Flujos!C2:C182,Flujos!K2:K182)/365</f>
        <v>4.479768255232879</v>
      </c>
      <c r="D19" s="39"/>
      <c r="E19" s="52"/>
      <c r="F19" s="67"/>
      <c r="G19" s="52"/>
      <c r="J19" s="70">
        <f>+Características!E19</f>
        <v>0</v>
      </c>
    </row>
    <row r="20" spans="1:10" ht="16.5" customHeight="1">
      <c r="A20" s="50"/>
      <c r="B20" s="221" t="s">
        <v>63</v>
      </c>
      <c r="C20" s="66">
        <f>+SUMPRODUCT(Flujos!B2:B182,Flujos!H2:H182)/Flujos!H183/365</f>
        <v>2.3651490921054417</v>
      </c>
      <c r="D20" s="39"/>
      <c r="E20" s="52"/>
      <c r="F20" s="67"/>
      <c r="G20" s="52"/>
      <c r="J20" s="70">
        <f>+Características!E20</f>
        <v>0</v>
      </c>
    </row>
    <row r="21" spans="1:10" ht="16.5" customHeight="1">
      <c r="A21" s="50"/>
      <c r="B21" s="222" t="s">
        <v>64</v>
      </c>
      <c r="C21" s="68">
        <f>+C20/(1+F11)</f>
        <v>2.2304310563046412</v>
      </c>
      <c r="D21" s="39"/>
      <c r="E21" s="52"/>
      <c r="F21" s="67"/>
      <c r="G21" s="52"/>
      <c r="J21" s="70">
        <f>+Características!E21</f>
        <v>0</v>
      </c>
    </row>
    <row r="22" ht="15" thickBot="1">
      <c r="J22" s="70">
        <f>+Características!E22</f>
        <v>0</v>
      </c>
    </row>
    <row r="23" spans="2:10" ht="15" thickBot="1">
      <c r="B23" s="223" t="s">
        <v>65</v>
      </c>
      <c r="C23" s="204">
        <f>Flujos!L2</f>
        <v>284011411.18109006</v>
      </c>
      <c r="E23"/>
      <c r="F23"/>
      <c r="G23" s="125"/>
      <c r="J23" s="70">
        <f>+Características!E23</f>
        <v>0</v>
      </c>
    </row>
    <row r="24" spans="2:10" ht="14.25">
      <c r="B24"/>
      <c r="C24"/>
      <c r="E24"/>
      <c r="F24"/>
      <c r="G24" s="125"/>
      <c r="J24" s="70">
        <f>+Características!E24</f>
        <v>0</v>
      </c>
    </row>
    <row r="25" spans="2:10" ht="14.25" hidden="1">
      <c r="B25"/>
      <c r="C25"/>
      <c r="E25"/>
      <c r="F25"/>
      <c r="G25" s="125"/>
      <c r="J25" s="70"/>
    </row>
    <row r="26" spans="2:7" ht="14.25" hidden="1">
      <c r="B26"/>
      <c r="C26"/>
      <c r="E26"/>
      <c r="F26"/>
      <c r="G26" s="125"/>
    </row>
    <row r="27" spans="2:12" ht="14.25" hidden="1">
      <c r="B27"/>
      <c r="C27"/>
      <c r="D27"/>
      <c r="E27"/>
      <c r="F27"/>
      <c r="G27" s="125"/>
      <c r="H27" s="46">
        <v>0.06160901272722631</v>
      </c>
      <c r="I27" s="46">
        <v>0.06252687307124813</v>
      </c>
      <c r="J27" s="46">
        <v>0.06612413666916779</v>
      </c>
      <c r="K27" s="48">
        <v>0.06963896567189201</v>
      </c>
      <c r="L27" s="41">
        <v>0.0709157072978709</v>
      </c>
    </row>
    <row r="28" spans="2:7" ht="14.25" hidden="1">
      <c r="B28"/>
      <c r="C28"/>
      <c r="D28"/>
      <c r="E28"/>
      <c r="F28"/>
      <c r="G28" s="125"/>
    </row>
    <row r="29" spans="2:7" ht="14.25" hidden="1">
      <c r="B29"/>
      <c r="C29"/>
      <c r="D29"/>
      <c r="E29"/>
      <c r="F29"/>
      <c r="G29" s="125"/>
    </row>
    <row r="30" spans="2:7" ht="14.25" hidden="1">
      <c r="B30"/>
      <c r="C30"/>
      <c r="D30"/>
      <c r="E30"/>
      <c r="F30"/>
      <c r="G30" s="125"/>
    </row>
    <row r="31" spans="2:7" ht="14.25" hidden="1">
      <c r="B31"/>
      <c r="C31"/>
      <c r="D31"/>
      <c r="E31"/>
      <c r="F31"/>
      <c r="G31" s="125"/>
    </row>
    <row r="32" spans="2:7" ht="14.25" hidden="1">
      <c r="B32"/>
      <c r="C32"/>
      <c r="D32"/>
      <c r="E32"/>
      <c r="F32"/>
      <c r="G32" s="125"/>
    </row>
    <row r="33" spans="2:7" ht="14.25" hidden="1">
      <c r="B33"/>
      <c r="C33"/>
      <c r="D33"/>
      <c r="E33"/>
      <c r="F33"/>
      <c r="G33" s="125"/>
    </row>
    <row r="34" spans="2:7" ht="14.25" hidden="1">
      <c r="B34"/>
      <c r="C34"/>
      <c r="D34"/>
      <c r="E34"/>
      <c r="F34"/>
      <c r="G34" s="125"/>
    </row>
    <row r="35" spans="2:7" ht="14.25" hidden="1">
      <c r="B35"/>
      <c r="C35"/>
      <c r="D35"/>
      <c r="E35"/>
      <c r="F35"/>
      <c r="G35" s="125"/>
    </row>
    <row r="36" spans="2:7" ht="14.25" hidden="1">
      <c r="B36"/>
      <c r="C36"/>
      <c r="D36"/>
      <c r="E36"/>
      <c r="F36"/>
      <c r="G36" s="125"/>
    </row>
    <row r="37" spans="2:7" ht="14.25" hidden="1">
      <c r="B37"/>
      <c r="C37"/>
      <c r="D37"/>
      <c r="F37" s="126"/>
      <c r="G37" s="125"/>
    </row>
    <row r="38" spans="2:7" ht="14.25" hidden="1">
      <c r="B38"/>
      <c r="C38"/>
      <c r="D38"/>
      <c r="F38" s="126"/>
      <c r="G38" s="125"/>
    </row>
    <row r="39" spans="2:7" ht="14.25" hidden="1">
      <c r="B39"/>
      <c r="C39"/>
      <c r="D39"/>
      <c r="F39" s="126"/>
      <c r="G39" s="125"/>
    </row>
    <row r="40" spans="2:7" ht="14.25" hidden="1">
      <c r="B40"/>
      <c r="C40"/>
      <c r="D40"/>
      <c r="F40" s="126"/>
      <c r="G40" s="125"/>
    </row>
    <row r="41" spans="2:3" ht="14.25" hidden="1">
      <c r="B41"/>
      <c r="C41"/>
    </row>
  </sheetData>
  <sheetProtection password="C5F9" sheet="1" objects="1" scenarios="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$H$1:$H$2</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J1" formulaRange="1"/>
    <ignoredError sqref="F17"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29">
      <selection activeCell="B39" sqref="B39"/>
    </sheetView>
  </sheetViews>
  <sheetFormatPr defaultColWidth="21.140625" defaultRowHeight="12.75"/>
  <cols>
    <col min="1" max="1" width="25.7109375" style="85" customWidth="1"/>
    <col min="2" max="3" width="21.28125" style="20" bestFit="1" customWidth="1"/>
    <col min="4" max="4" width="21.140625" style="85" customWidth="1"/>
    <col min="5" max="6" width="10.28125" style="85" bestFit="1" customWidth="1"/>
    <col min="7" max="16384" width="21.140625" style="85" customWidth="1"/>
  </cols>
  <sheetData>
    <row r="1" spans="1:6" ht="12.75">
      <c r="A1" s="82" t="s">
        <v>2</v>
      </c>
      <c r="B1" s="83" t="s">
        <v>84</v>
      </c>
      <c r="C1" s="84" t="s">
        <v>85</v>
      </c>
      <c r="E1" s="10"/>
      <c r="F1" s="10"/>
    </row>
    <row r="2" spans="1:6" ht="12.75">
      <c r="A2" s="86" t="s">
        <v>12</v>
      </c>
      <c r="B2" s="87" t="s">
        <v>86</v>
      </c>
      <c r="C2" s="88" t="s">
        <v>87</v>
      </c>
      <c r="E2" s="89"/>
      <c r="F2" s="10"/>
    </row>
    <row r="3" spans="1:6" ht="12.75">
      <c r="A3" s="86" t="s">
        <v>47</v>
      </c>
      <c r="B3" s="87" t="s">
        <v>82</v>
      </c>
      <c r="C3" s="88" t="s">
        <v>82</v>
      </c>
      <c r="E3" s="10"/>
      <c r="F3" s="10"/>
    </row>
    <row r="4" spans="1:6" ht="12.75">
      <c r="A4" s="86" t="s">
        <v>13</v>
      </c>
      <c r="B4" s="90">
        <v>43742</v>
      </c>
      <c r="C4" s="90">
        <v>43742</v>
      </c>
      <c r="E4" s="10"/>
      <c r="F4" s="10"/>
    </row>
    <row r="5" spans="1:6" ht="12.75">
      <c r="A5" s="86" t="s">
        <v>14</v>
      </c>
      <c r="B5" s="90">
        <v>45569</v>
      </c>
      <c r="C5" s="90">
        <v>49221</v>
      </c>
      <c r="E5" s="10"/>
      <c r="F5" s="10"/>
    </row>
    <row r="6" spans="1:6" ht="12.75">
      <c r="A6" s="86" t="s">
        <v>15</v>
      </c>
      <c r="B6" s="91">
        <v>0.0529</v>
      </c>
      <c r="C6" s="92">
        <v>0.0604</v>
      </c>
      <c r="E6" s="10"/>
      <c r="F6" s="10"/>
    </row>
    <row r="7" spans="1:6" ht="13.5" thickBot="1">
      <c r="A7" s="93" t="s">
        <v>16</v>
      </c>
      <c r="B7" s="94" t="s">
        <v>17</v>
      </c>
      <c r="C7" s="95" t="s">
        <v>17</v>
      </c>
      <c r="E7" s="10"/>
      <c r="F7" s="10"/>
    </row>
    <row r="8" spans="5:6" ht="13.5" thickBot="1">
      <c r="E8" s="10"/>
      <c r="F8" s="10"/>
    </row>
    <row r="9" spans="1:6" ht="13.5" thickBot="1">
      <c r="A9" s="327" t="s">
        <v>26</v>
      </c>
      <c r="B9" s="328"/>
      <c r="E9" s="10"/>
      <c r="F9" s="10"/>
    </row>
    <row r="10" spans="1:6" ht="12.75">
      <c r="A10" s="26" t="s">
        <v>4</v>
      </c>
      <c r="B10" s="27">
        <f>+'CALCULADORA TIPS Pesos N-20'!E6</f>
        <v>44777</v>
      </c>
      <c r="E10" s="10"/>
      <c r="F10" s="10"/>
    </row>
    <row r="11" spans="1:6" ht="12.75">
      <c r="A11" s="26" t="s">
        <v>5</v>
      </c>
      <c r="B11" s="27">
        <f>+VLOOKUP(B10,Flujos!$A$2:$A$182,1)</f>
        <v>44777</v>
      </c>
      <c r="E11" s="10"/>
      <c r="F11" s="10"/>
    </row>
    <row r="12" spans="1:6" ht="12.75">
      <c r="A12" s="26" t="s">
        <v>6</v>
      </c>
      <c r="B12" s="28">
        <f>+VLOOKUP(B11,Flujos!$A$2:$D$182,4)</f>
        <v>70.404281</v>
      </c>
      <c r="E12" s="10"/>
      <c r="F12" s="10"/>
    </row>
    <row r="13" spans="1:6" ht="12.75">
      <c r="A13" s="26" t="s">
        <v>7</v>
      </c>
      <c r="B13" s="28">
        <f>+VLOOKUP(_XLL.FECHA.MES(B10,1),Flujos!$A$2:$F$182,6)</f>
        <v>0.344911</v>
      </c>
      <c r="E13" s="10"/>
      <c r="F13" s="10"/>
    </row>
    <row r="14" spans="1:6" ht="12.75">
      <c r="A14" s="26" t="s">
        <v>3</v>
      </c>
      <c r="B14" s="29">
        <f>+DAYS360(B11,B10,TRUE)</f>
        <v>0</v>
      </c>
      <c r="E14" s="10"/>
      <c r="F14" s="10"/>
    </row>
    <row r="15" spans="1:6" ht="12.75">
      <c r="A15" s="26" t="s">
        <v>8</v>
      </c>
      <c r="B15" s="29">
        <v>30</v>
      </c>
      <c r="E15" s="10"/>
      <c r="F15" s="10"/>
    </row>
    <row r="16" spans="1:6" ht="12.75">
      <c r="A16" s="26" t="s">
        <v>9</v>
      </c>
      <c r="B16" s="31">
        <f>ROUND(B13/B12*B14/B15*100,4)</f>
        <v>0</v>
      </c>
      <c r="E16" s="10"/>
      <c r="F16" s="10"/>
    </row>
    <row r="17" spans="1:6" ht="12.75">
      <c r="A17" s="26" t="s">
        <v>11</v>
      </c>
      <c r="B17" s="34">
        <f>+'CALCULADORA TIPS Pesos N-20'!F12</f>
        <v>100.012</v>
      </c>
      <c r="E17" s="10"/>
      <c r="F17" s="10"/>
    </row>
    <row r="18" spans="1:6" ht="12.75">
      <c r="A18" s="26" t="s">
        <v>23</v>
      </c>
      <c r="B18" s="35">
        <f>+'CALCULADORA TIPS Pesos N-20'!F16</f>
        <v>199956192</v>
      </c>
      <c r="E18" s="10"/>
      <c r="F18" s="10"/>
    </row>
    <row r="19" spans="1:6" ht="12.75">
      <c r="A19" s="26" t="s">
        <v>16</v>
      </c>
      <c r="B19" s="31">
        <v>1</v>
      </c>
      <c r="E19" s="10"/>
      <c r="F19" s="10"/>
    </row>
    <row r="20" spans="1:6" ht="12.75">
      <c r="A20" s="26" t="s">
        <v>24</v>
      </c>
      <c r="B20" s="35">
        <f>ROUND(B18*B19*(B17+B16)/100,0)</f>
        <v>199980187</v>
      </c>
      <c r="C20" s="96"/>
      <c r="E20" s="10"/>
      <c r="F20" s="10"/>
    </row>
    <row r="21" spans="1:6" ht="12.75">
      <c r="A21" s="26" t="s">
        <v>25</v>
      </c>
      <c r="B21" s="30">
        <f>TRUNC(B20/B18,5)</f>
        <v>1.00012</v>
      </c>
      <c r="C21" s="97"/>
      <c r="E21" s="10"/>
      <c r="F21" s="10"/>
    </row>
    <row r="22" spans="1:6" ht="12.75">
      <c r="A22" s="26" t="s">
        <v>27</v>
      </c>
      <c r="B22" s="34">
        <f>TRUNC(B21/B19*100,3)</f>
        <v>100.012</v>
      </c>
      <c r="E22" s="10"/>
      <c r="F22" s="10"/>
    </row>
    <row r="23" spans="1:6" ht="12.75">
      <c r="A23" s="26" t="s">
        <v>28</v>
      </c>
      <c r="B23" s="34">
        <f>TRUNC(Flujos!H183/VLOOKUP('CALCULADORA TIPS Pesos N-20'!E6,Flujos!A2:D182,4)*100,3)</f>
        <v>99.996</v>
      </c>
      <c r="E23" s="10"/>
      <c r="F23" s="10"/>
    </row>
    <row r="24" spans="1:6" ht="12.75">
      <c r="A24" s="26" t="s">
        <v>29</v>
      </c>
      <c r="B24" s="31">
        <f>+B22-B23</f>
        <v>0.016000000000005343</v>
      </c>
      <c r="E24" s="10"/>
      <c r="F24" s="10"/>
    </row>
    <row r="25" spans="1:6" ht="13.5" thickBot="1">
      <c r="A25" s="32" t="s">
        <v>30</v>
      </c>
      <c r="B25" s="33">
        <f>TRUNC('CALCULADORA TIPS Pesos N-20'!F11,5)</f>
        <v>0.0604</v>
      </c>
      <c r="E25" s="10"/>
      <c r="F25" s="10"/>
    </row>
    <row r="26" spans="5:6" ht="13.5" thickBot="1">
      <c r="E26" s="10"/>
      <c r="F26" s="10"/>
    </row>
    <row r="27" spans="1:6" ht="13.5" thickBot="1">
      <c r="A27" s="327" t="s">
        <v>37</v>
      </c>
      <c r="B27" s="328"/>
      <c r="E27" s="10"/>
      <c r="F27" s="10"/>
    </row>
    <row r="28" spans="1:6" ht="12.75">
      <c r="A28" s="26" t="s">
        <v>31</v>
      </c>
      <c r="B28" s="98">
        <f>TRUNC('CALCULADORA TIPS Pesos N-20'!F11,5)</f>
        <v>0.0604</v>
      </c>
      <c r="E28" s="10"/>
      <c r="F28" s="10"/>
    </row>
    <row r="29" spans="1:6" ht="12.75">
      <c r="A29" s="26" t="s">
        <v>28</v>
      </c>
      <c r="B29" s="34">
        <f>TRUNC(Flujos!H183/VLOOKUP('CALCULADORA TIPS Pesos N-20'!E6,Flujos!A2:D182,4)*100,3)</f>
        <v>99.996</v>
      </c>
      <c r="E29" s="10"/>
      <c r="F29" s="10"/>
    </row>
    <row r="30" spans="1:6" ht="12.75">
      <c r="A30" s="85" t="s">
        <v>16</v>
      </c>
      <c r="B30" s="31">
        <v>1</v>
      </c>
      <c r="E30" s="10"/>
      <c r="F30" s="10"/>
    </row>
    <row r="31" spans="1:6" ht="12.75">
      <c r="A31" s="26" t="s">
        <v>23</v>
      </c>
      <c r="B31" s="35">
        <f>+'CALCULADORA TIPS Pesos N-20'!F16</f>
        <v>199956192</v>
      </c>
      <c r="E31" s="10"/>
      <c r="F31" s="10"/>
    </row>
    <row r="32" spans="1:6" ht="12.75">
      <c r="A32" s="26" t="s">
        <v>24</v>
      </c>
      <c r="B32" s="35">
        <f>+ROUND(B29/100*B31*B30,0)</f>
        <v>199948194</v>
      </c>
      <c r="E32" s="10"/>
      <c r="F32" s="10"/>
    </row>
    <row r="33" spans="1:6" ht="12.75">
      <c r="A33" s="26" t="s">
        <v>6</v>
      </c>
      <c r="B33" s="28">
        <f>+VLOOKUP(B11,Flujos!$A$2:$D$182,4)</f>
        <v>70.404281</v>
      </c>
      <c r="E33" s="10"/>
      <c r="F33" s="10"/>
    </row>
    <row r="34" spans="1:6" ht="12.75">
      <c r="A34" s="26" t="s">
        <v>7</v>
      </c>
      <c r="B34" s="28">
        <f>+VLOOKUP(_XLL.FECHA.MES(B10,1),Flujos!$A$2:$F$182,6)</f>
        <v>0.344911</v>
      </c>
      <c r="D34" s="99"/>
      <c r="E34" s="10"/>
      <c r="F34" s="10"/>
    </row>
    <row r="35" spans="1:6" ht="12.75">
      <c r="A35" s="26" t="s">
        <v>3</v>
      </c>
      <c r="B35" s="29">
        <f>+DAYS360(B11,B10,TRUE)</f>
        <v>0</v>
      </c>
      <c r="D35" s="100"/>
      <c r="E35" s="10"/>
      <c r="F35" s="10"/>
    </row>
    <row r="36" spans="1:6" ht="12.75">
      <c r="A36" s="26" t="s">
        <v>8</v>
      </c>
      <c r="B36" s="29">
        <v>30</v>
      </c>
      <c r="E36" s="10"/>
      <c r="F36" s="10"/>
    </row>
    <row r="37" spans="1:6" ht="12.75">
      <c r="A37" s="26" t="s">
        <v>25</v>
      </c>
      <c r="B37" s="30">
        <f>TRUNC(B32/(B30*B31),5)</f>
        <v>0.99996</v>
      </c>
      <c r="C37" s="101"/>
      <c r="E37" s="10"/>
      <c r="F37" s="10"/>
    </row>
    <row r="38" spans="1:6" ht="12.75">
      <c r="A38" s="26" t="s">
        <v>9</v>
      </c>
      <c r="B38" s="31">
        <f>ROUND(B34/B33*B35/B36,6)*100</f>
        <v>0</v>
      </c>
      <c r="E38" s="10"/>
      <c r="F38" s="10"/>
    </row>
    <row r="39" spans="1:6" ht="13.5" thickBot="1">
      <c r="A39" s="32" t="s">
        <v>11</v>
      </c>
      <c r="B39" s="102">
        <f>ROUND((B37-(B38/100))*100,3)</f>
        <v>99.996</v>
      </c>
      <c r="C39" s="103"/>
      <c r="E39" s="10"/>
      <c r="F39" s="10"/>
    </row>
    <row r="40" spans="2:6" ht="12.75">
      <c r="B40" s="103"/>
      <c r="E40" s="10"/>
      <c r="F40" s="10"/>
    </row>
    <row r="41" spans="2:6" ht="12.75">
      <c r="B41" s="101"/>
      <c r="E41" s="10"/>
      <c r="F41" s="10"/>
    </row>
    <row r="42" spans="2:6" ht="12.75">
      <c r="B42" s="104"/>
      <c r="E42" s="10"/>
      <c r="F42" s="10"/>
    </row>
    <row r="43" spans="5:6" ht="12.75">
      <c r="E43" s="10"/>
      <c r="F43" s="10"/>
    </row>
    <row r="44" spans="5:6" ht="12.75">
      <c r="E44" s="10"/>
      <c r="F44" s="10"/>
    </row>
    <row r="45" spans="5:6" ht="12.75">
      <c r="E45" s="10"/>
      <c r="F45" s="10"/>
    </row>
    <row r="46" spans="5:6" ht="12.75">
      <c r="E46" s="10"/>
      <c r="F46" s="10"/>
    </row>
    <row r="47" spans="5:6" ht="12.75">
      <c r="E47" s="10"/>
      <c r="F47" s="10"/>
    </row>
    <row r="48" spans="5:6" ht="12.75">
      <c r="E48" s="10"/>
      <c r="F48" s="10"/>
    </row>
    <row r="49" spans="5:6" ht="12.75">
      <c r="E49" s="10"/>
      <c r="F49" s="10"/>
    </row>
    <row r="50" spans="5:6" ht="12.75">
      <c r="E50" s="10"/>
      <c r="F50" s="10"/>
    </row>
    <row r="51" spans="5:6" ht="12.75">
      <c r="E51" s="10"/>
      <c r="F51" s="10"/>
    </row>
    <row r="52" spans="5:6" ht="12.75">
      <c r="E52" s="10"/>
      <c r="F52" s="10"/>
    </row>
    <row r="53" spans="5:6" ht="12.75">
      <c r="E53" s="10"/>
      <c r="F53" s="10"/>
    </row>
    <row r="54" spans="5:6" ht="12.75">
      <c r="E54" s="10"/>
      <c r="F54" s="10"/>
    </row>
    <row r="55" spans="5:6" ht="12.75">
      <c r="E55" s="10"/>
      <c r="F55" s="10"/>
    </row>
    <row r="56" spans="5:6" ht="12.75">
      <c r="E56" s="10"/>
      <c r="F56" s="10"/>
    </row>
    <row r="57" spans="5:6" ht="12.75">
      <c r="E57" s="10"/>
      <c r="F57" s="10"/>
    </row>
    <row r="58" spans="5:6" ht="12.75">
      <c r="E58" s="10"/>
      <c r="F58" s="10"/>
    </row>
    <row r="59" spans="5:6" ht="12.75">
      <c r="E59" s="10"/>
      <c r="F59" s="10"/>
    </row>
    <row r="60" spans="5:6" ht="12.75">
      <c r="E60" s="10"/>
      <c r="F60" s="10"/>
    </row>
    <row r="61" spans="5:6" ht="12.75">
      <c r="E61" s="10"/>
      <c r="F61" s="10"/>
    </row>
    <row r="62" spans="5:6" ht="12.75">
      <c r="E62" s="10"/>
      <c r="F62" s="10"/>
    </row>
    <row r="63" spans="5:6" ht="12.75">
      <c r="E63" s="10"/>
      <c r="F63" s="10"/>
    </row>
    <row r="64" spans="5:6" ht="12.75">
      <c r="E64" s="10"/>
      <c r="F64" s="10"/>
    </row>
    <row r="65" spans="5:6" ht="12.75">
      <c r="E65" s="10"/>
      <c r="F65" s="10"/>
    </row>
    <row r="66" spans="5:6" ht="12.75">
      <c r="E66" s="10"/>
      <c r="F66" s="10"/>
    </row>
    <row r="67" spans="5:6" ht="12.75">
      <c r="E67" s="10"/>
      <c r="F67" s="10"/>
    </row>
    <row r="68" spans="5:6" ht="12.75">
      <c r="E68" s="10"/>
      <c r="F68" s="10"/>
    </row>
    <row r="69" spans="5:6" ht="12.75">
      <c r="E69" s="10"/>
      <c r="F69" s="10"/>
    </row>
    <row r="70" spans="5:6" ht="12.75">
      <c r="E70" s="10"/>
      <c r="F70" s="10"/>
    </row>
    <row r="71" spans="5:6" ht="12.75">
      <c r="E71" s="10"/>
      <c r="F71" s="10"/>
    </row>
    <row r="72" spans="5:6" ht="12.75">
      <c r="E72" s="10"/>
      <c r="F72" s="10"/>
    </row>
    <row r="73" spans="5:6" ht="12.75">
      <c r="E73" s="10"/>
      <c r="F73" s="10"/>
    </row>
    <row r="74" spans="5:6" ht="12.75">
      <c r="E74" s="10"/>
      <c r="F74" s="10"/>
    </row>
    <row r="75" spans="5:6" ht="12.75">
      <c r="E75" s="10"/>
      <c r="F75" s="10"/>
    </row>
    <row r="76" spans="5:6" ht="12.75">
      <c r="E76" s="10"/>
      <c r="F76" s="10"/>
    </row>
    <row r="77" spans="5:6" ht="12.75">
      <c r="E77" s="10"/>
      <c r="F77" s="10"/>
    </row>
    <row r="78" spans="5:6" ht="12.75">
      <c r="E78" s="10"/>
      <c r="F78" s="10"/>
    </row>
    <row r="79" spans="5:6" ht="12.75">
      <c r="E79" s="10"/>
      <c r="F79" s="10"/>
    </row>
    <row r="80" spans="5:6" ht="12.75">
      <c r="E80" s="10"/>
      <c r="F80" s="10"/>
    </row>
    <row r="81" spans="5:6" ht="12.75">
      <c r="E81" s="10"/>
      <c r="F81" s="10"/>
    </row>
    <row r="82" spans="5:6" ht="12.75">
      <c r="E82" s="10"/>
      <c r="F82" s="10"/>
    </row>
    <row r="83" spans="5:6" ht="12.75">
      <c r="E83" s="10"/>
      <c r="F83" s="10"/>
    </row>
    <row r="84" spans="5:6" ht="12.75">
      <c r="E84" s="10"/>
      <c r="F84" s="10"/>
    </row>
    <row r="85" spans="5:6" ht="12.75">
      <c r="E85" s="10"/>
      <c r="F85" s="10"/>
    </row>
    <row r="86" spans="5:6" ht="12.75">
      <c r="E86" s="10"/>
      <c r="F86" s="10"/>
    </row>
    <row r="87" spans="5:6" ht="12.75">
      <c r="E87" s="10"/>
      <c r="F87" s="10"/>
    </row>
    <row r="88" spans="5:6" ht="12.75">
      <c r="E88" s="10"/>
      <c r="F88" s="10"/>
    </row>
    <row r="89" spans="5:6" ht="12.75">
      <c r="E89" s="10"/>
      <c r="F89" s="10"/>
    </row>
    <row r="90" spans="5:6" ht="12.75">
      <c r="E90" s="10"/>
      <c r="F90" s="10"/>
    </row>
    <row r="91" spans="5:6" ht="12.75">
      <c r="E91" s="10"/>
      <c r="F91" s="10"/>
    </row>
    <row r="92" spans="5:6" ht="12.75">
      <c r="E92" s="10"/>
      <c r="F92" s="10"/>
    </row>
    <row r="93" spans="5:6" ht="12.75">
      <c r="E93" s="10"/>
      <c r="F93" s="10"/>
    </row>
    <row r="94" spans="5:6" ht="12.75">
      <c r="E94" s="10"/>
      <c r="F94" s="10"/>
    </row>
    <row r="95" spans="5:6" ht="12.75">
      <c r="E95" s="10"/>
      <c r="F95" s="10"/>
    </row>
    <row r="96" spans="5:6" ht="12.75">
      <c r="E96" s="10"/>
      <c r="F96" s="10"/>
    </row>
    <row r="97" spans="5:6" ht="12.75">
      <c r="E97" s="10"/>
      <c r="F97" s="10"/>
    </row>
    <row r="98" spans="5:6" ht="12.75">
      <c r="E98" s="10"/>
      <c r="F98" s="10"/>
    </row>
    <row r="99" spans="5:6" ht="12.75">
      <c r="E99" s="10"/>
      <c r="F99" s="10"/>
    </row>
    <row r="100" spans="5:6" ht="12.75">
      <c r="E100" s="10"/>
      <c r="F100" s="10"/>
    </row>
    <row r="101" spans="5:6" ht="12.75">
      <c r="E101" s="10"/>
      <c r="F101" s="10"/>
    </row>
    <row r="102" spans="5:6" ht="12.75">
      <c r="E102" s="10"/>
      <c r="F102" s="10"/>
    </row>
    <row r="103" spans="5:6" ht="12.75">
      <c r="E103" s="10"/>
      <c r="F103" s="10"/>
    </row>
    <row r="104" spans="5:6" ht="12.75">
      <c r="E104" s="10"/>
      <c r="F104" s="10"/>
    </row>
    <row r="105" spans="5:6" ht="12.75">
      <c r="E105" s="10"/>
      <c r="F105" s="10"/>
    </row>
    <row r="106" spans="5:6" ht="12.75">
      <c r="E106" s="10"/>
      <c r="F106" s="10"/>
    </row>
    <row r="107" spans="5:6" ht="12.75">
      <c r="E107" s="10"/>
      <c r="F107" s="10"/>
    </row>
    <row r="108" spans="5:6" ht="12.75">
      <c r="E108" s="10"/>
      <c r="F108" s="10"/>
    </row>
    <row r="109" spans="5:6" ht="12.75">
      <c r="E109" s="10"/>
      <c r="F109" s="10"/>
    </row>
    <row r="110" spans="5:6" ht="12.75">
      <c r="E110" s="10"/>
      <c r="F110" s="10"/>
    </row>
    <row r="111" spans="5:6" ht="12.75">
      <c r="E111" s="10"/>
      <c r="F111" s="10"/>
    </row>
    <row r="112" spans="5:6" ht="12.75">
      <c r="E112" s="10"/>
      <c r="F112" s="10"/>
    </row>
    <row r="113" spans="5:6" ht="12.75">
      <c r="E113" s="10"/>
      <c r="F113" s="10"/>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spans="5:6" ht="12.75">
      <c r="E120" s="10"/>
      <c r="F120" s="10"/>
    </row>
    <row r="121" spans="5:6" ht="12.75">
      <c r="E121" s="10"/>
      <c r="F121" s="10"/>
    </row>
    <row r="122" spans="5:6" ht="12.75">
      <c r="E122" s="10"/>
      <c r="F122" s="10"/>
    </row>
    <row r="123" spans="5:6" ht="12.75">
      <c r="E123" s="10"/>
      <c r="F123" s="10"/>
    </row>
    <row r="124" spans="5:6" ht="12.75">
      <c r="E124" s="10"/>
      <c r="F124" s="10"/>
    </row>
    <row r="125" spans="5:6" ht="12.75">
      <c r="E125" s="10"/>
      <c r="F125" s="10"/>
    </row>
    <row r="126" spans="5:6" ht="12.75">
      <c r="E126" s="10"/>
      <c r="F126" s="10"/>
    </row>
    <row r="127" spans="5:6" ht="12.75">
      <c r="E127" s="10"/>
      <c r="F127" s="10"/>
    </row>
    <row r="128" spans="5:6" ht="12.75">
      <c r="E128" s="10"/>
      <c r="F128" s="10"/>
    </row>
    <row r="129" spans="5:6" ht="12.75">
      <c r="E129" s="10"/>
      <c r="F129" s="10"/>
    </row>
    <row r="130" spans="5:6" ht="12.75">
      <c r="E130" s="10"/>
      <c r="F130" s="10"/>
    </row>
    <row r="131" spans="5:6" ht="12.75">
      <c r="E131" s="10"/>
      <c r="F131" s="10"/>
    </row>
    <row r="132" spans="5:6" ht="12.75">
      <c r="E132" s="10"/>
      <c r="F132" s="10"/>
    </row>
    <row r="133" spans="5:6" ht="12.75">
      <c r="E133" s="10"/>
      <c r="F133" s="10"/>
    </row>
    <row r="134" spans="5:6" ht="12.75">
      <c r="E134" s="10"/>
      <c r="F134" s="10"/>
    </row>
    <row r="135" spans="5:6" ht="12.75">
      <c r="E135" s="10"/>
      <c r="F135" s="10"/>
    </row>
    <row r="136" spans="5:6" ht="12.75">
      <c r="E136" s="10"/>
      <c r="F136" s="10"/>
    </row>
    <row r="137" spans="5:6" ht="12.75">
      <c r="E137" s="10"/>
      <c r="F137" s="10"/>
    </row>
    <row r="138" spans="5:6" ht="12.75">
      <c r="E138" s="10"/>
      <c r="F138" s="10"/>
    </row>
    <row r="139" spans="5:6" ht="12.75">
      <c r="E139" s="10"/>
      <c r="F139" s="10"/>
    </row>
    <row r="140" spans="5:6" ht="12.75">
      <c r="E140" s="10"/>
      <c r="F140" s="10"/>
    </row>
    <row r="141" spans="5:6" ht="12.75">
      <c r="E141" s="10"/>
      <c r="F141" s="10"/>
    </row>
    <row r="142" spans="5:6" ht="12.75">
      <c r="E142" s="10"/>
      <c r="F142" s="10"/>
    </row>
    <row r="143" spans="5:6" ht="12.75">
      <c r="E143" s="10"/>
      <c r="F143" s="10"/>
    </row>
    <row r="144" spans="5:6" ht="12.75">
      <c r="E144" s="10"/>
      <c r="F144" s="10"/>
    </row>
    <row r="145" spans="5:6" ht="12.75">
      <c r="E145" s="10"/>
      <c r="F145" s="10"/>
    </row>
    <row r="146" spans="5:6" ht="12.75">
      <c r="E146" s="10"/>
      <c r="F146" s="10"/>
    </row>
    <row r="147" spans="5:6" ht="12.75">
      <c r="E147" s="10"/>
      <c r="F147" s="10"/>
    </row>
    <row r="148" spans="5:6" ht="12.75">
      <c r="E148" s="10"/>
      <c r="F148" s="10"/>
    </row>
    <row r="149" spans="5:6" ht="12.75">
      <c r="E149" s="10"/>
      <c r="F149" s="10"/>
    </row>
    <row r="150" spans="5:6" ht="12.75">
      <c r="E150" s="10"/>
      <c r="F150" s="10"/>
    </row>
    <row r="151" spans="5:6" ht="12.75">
      <c r="E151" s="10"/>
      <c r="F151" s="10"/>
    </row>
    <row r="152" spans="5:6" ht="12.75">
      <c r="E152" s="10"/>
      <c r="F152" s="10"/>
    </row>
    <row r="153" spans="5:6" ht="12.75">
      <c r="E153" s="10"/>
      <c r="F153" s="10"/>
    </row>
    <row r="154" spans="5:6" ht="12.75">
      <c r="E154" s="10"/>
      <c r="F154" s="10"/>
    </row>
    <row r="155" spans="5:6" ht="12.75">
      <c r="E155" s="10"/>
      <c r="F155" s="10"/>
    </row>
    <row r="156" spans="5:6" ht="12.75">
      <c r="E156" s="10"/>
      <c r="F156" s="10"/>
    </row>
    <row r="157" spans="5:6" ht="12.75">
      <c r="E157" s="10"/>
      <c r="F157" s="10"/>
    </row>
    <row r="158" spans="5:6" ht="12.75">
      <c r="E158" s="10"/>
      <c r="F158" s="10"/>
    </row>
    <row r="159" spans="5:6" ht="12.75">
      <c r="E159" s="10"/>
      <c r="F159" s="10"/>
    </row>
    <row r="160" spans="5:6" ht="12.75">
      <c r="E160" s="10"/>
      <c r="F160" s="10"/>
    </row>
    <row r="161" spans="5:6" ht="12.75">
      <c r="E161" s="10"/>
      <c r="F161" s="10"/>
    </row>
    <row r="162" spans="5:6" ht="12.75">
      <c r="E162" s="10"/>
      <c r="F162" s="10"/>
    </row>
    <row r="163" spans="5:6" ht="12.75">
      <c r="E163" s="10"/>
      <c r="F163" s="10"/>
    </row>
    <row r="164" spans="5:6" ht="12.75">
      <c r="E164" s="10"/>
      <c r="F164" s="10"/>
    </row>
    <row r="165" spans="5:6" ht="12.75">
      <c r="E165" s="10"/>
      <c r="F165" s="10"/>
    </row>
    <row r="166" spans="5:6" ht="12.75">
      <c r="E166" s="10"/>
      <c r="F166" s="10"/>
    </row>
    <row r="167" spans="5:6" ht="12.75">
      <c r="E167" s="10"/>
      <c r="F167" s="10"/>
    </row>
    <row r="168" spans="5:6" ht="12.75">
      <c r="E168" s="10"/>
      <c r="F168" s="10"/>
    </row>
    <row r="169" spans="5:6" ht="12.75">
      <c r="E169" s="10"/>
      <c r="F169" s="10"/>
    </row>
    <row r="170" spans="5:6" ht="12.75">
      <c r="E170" s="10"/>
      <c r="F170" s="10"/>
    </row>
    <row r="171" spans="5:6" ht="12.75">
      <c r="E171" s="10"/>
      <c r="F171" s="10"/>
    </row>
    <row r="172" spans="5:6" ht="12.75">
      <c r="E172" s="10"/>
      <c r="F172" s="10"/>
    </row>
    <row r="173" spans="5:6" ht="12.75">
      <c r="E173" s="10"/>
      <c r="F173" s="10"/>
    </row>
    <row r="174" spans="5:6" ht="12.75">
      <c r="E174" s="10"/>
      <c r="F174" s="10"/>
    </row>
    <row r="175" spans="5:6" ht="12.75">
      <c r="E175" s="10"/>
      <c r="F175" s="10"/>
    </row>
    <row r="176" spans="5:6" ht="12.75">
      <c r="E176" s="10"/>
      <c r="F176" s="10"/>
    </row>
    <row r="177" spans="5:6" ht="12.75">
      <c r="E177" s="10"/>
      <c r="F177" s="10"/>
    </row>
    <row r="178" spans="5:6" ht="12.75">
      <c r="E178" s="10"/>
      <c r="F178" s="10"/>
    </row>
    <row r="179" spans="5:6" ht="12.75">
      <c r="E179" s="10"/>
      <c r="F179" s="10"/>
    </row>
    <row r="180" spans="5:6" ht="12.75">
      <c r="E180" s="10"/>
      <c r="F180" s="10"/>
    </row>
    <row r="181" spans="5:6" ht="12.75">
      <c r="E181" s="10"/>
      <c r="F181" s="10"/>
    </row>
    <row r="182" spans="5:6" ht="12.75">
      <c r="E182" s="10"/>
      <c r="F182" s="10"/>
    </row>
    <row r="183" spans="5:6" ht="12.75">
      <c r="E183" s="10"/>
      <c r="F183" s="10"/>
    </row>
    <row r="184" spans="5:6" ht="12.75">
      <c r="E184" s="10"/>
      <c r="F184" s="10"/>
    </row>
    <row r="185" spans="5:6" ht="12.75">
      <c r="E185" s="10"/>
      <c r="F185" s="10"/>
    </row>
    <row r="186" spans="5:6" ht="12.75">
      <c r="E186" s="10"/>
      <c r="F186" s="10"/>
    </row>
    <row r="187" spans="5:6" ht="12.75">
      <c r="E187" s="10"/>
      <c r="F187" s="10"/>
    </row>
    <row r="188" spans="5:6" ht="12.75">
      <c r="E188" s="10"/>
      <c r="F188" s="10"/>
    </row>
    <row r="189" spans="5:6" ht="12.75">
      <c r="E189" s="10"/>
      <c r="F189" s="10"/>
    </row>
    <row r="190" spans="5:6" ht="12.75">
      <c r="E190" s="10"/>
      <c r="F190" s="10"/>
    </row>
    <row r="191" spans="5:6" ht="12.75">
      <c r="E191" s="10"/>
      <c r="F191" s="10"/>
    </row>
    <row r="192" spans="5:6" ht="12.75">
      <c r="E192" s="10"/>
      <c r="F192" s="10"/>
    </row>
    <row r="193" spans="5:6" ht="12.75">
      <c r="E193" s="10"/>
      <c r="F193" s="10"/>
    </row>
    <row r="194" spans="5:6" ht="12.75">
      <c r="E194" s="10"/>
      <c r="F194" s="10"/>
    </row>
    <row r="195" spans="5:6" ht="12.75">
      <c r="E195" s="10"/>
      <c r="F195" s="10"/>
    </row>
    <row r="196" spans="5:6" ht="12.75">
      <c r="E196" s="10"/>
      <c r="F196" s="10"/>
    </row>
    <row r="197" spans="5:6" ht="12.75">
      <c r="E197" s="10"/>
      <c r="F197" s="10"/>
    </row>
    <row r="198" spans="5:6" ht="12.75">
      <c r="E198" s="10"/>
      <c r="F198" s="10"/>
    </row>
    <row r="199" spans="5:6" ht="12.75">
      <c r="E199" s="10"/>
      <c r="F199" s="10"/>
    </row>
    <row r="200" spans="5:6" ht="12.75">
      <c r="E200" s="10"/>
      <c r="F200" s="10"/>
    </row>
    <row r="201" spans="5:6" ht="12.75">
      <c r="E201" s="10"/>
      <c r="F201" s="10"/>
    </row>
    <row r="202" spans="5:6" ht="12.75">
      <c r="E202" s="10"/>
      <c r="F202" s="10"/>
    </row>
    <row r="203" spans="5:6" ht="12.75">
      <c r="E203" s="10"/>
      <c r="F203" s="10"/>
    </row>
    <row r="204" spans="5:6" ht="12.75">
      <c r="E204" s="10"/>
      <c r="F204" s="10"/>
    </row>
    <row r="205" spans="5:6" ht="12.75">
      <c r="E205" s="10"/>
      <c r="F205" s="10"/>
    </row>
    <row r="206" spans="5:6" ht="12.75">
      <c r="E206" s="10"/>
      <c r="F206" s="10"/>
    </row>
    <row r="207" spans="5:6" ht="12.75">
      <c r="E207" s="10"/>
      <c r="F207" s="10"/>
    </row>
    <row r="208" spans="5:6" ht="12.75">
      <c r="E208" s="10"/>
      <c r="F208" s="10"/>
    </row>
    <row r="209" spans="5:6" ht="12.75">
      <c r="E209" s="10"/>
      <c r="F209" s="10"/>
    </row>
    <row r="210" spans="5:6" ht="12.75">
      <c r="E210" s="10"/>
      <c r="F210" s="10"/>
    </row>
    <row r="211" spans="5:6" ht="12.75">
      <c r="E211" s="10"/>
      <c r="F211" s="10"/>
    </row>
    <row r="212" spans="5:6" ht="12.75">
      <c r="E212" s="10"/>
      <c r="F212" s="10"/>
    </row>
    <row r="213" spans="5:6" ht="12.75">
      <c r="E213" s="10"/>
      <c r="F213" s="10"/>
    </row>
    <row r="214" spans="5:6" ht="12.75">
      <c r="E214" s="10"/>
      <c r="F214" s="10"/>
    </row>
    <row r="215" spans="5:6" ht="12.75">
      <c r="E215" s="10"/>
      <c r="F215" s="10"/>
    </row>
    <row r="216" spans="5:6" ht="12.75">
      <c r="E216" s="10"/>
      <c r="F216" s="10"/>
    </row>
    <row r="217" spans="5:6" ht="12.75">
      <c r="E217" s="10"/>
      <c r="F217" s="10"/>
    </row>
    <row r="218" spans="5:6" ht="12.75">
      <c r="E218" s="10"/>
      <c r="F218" s="10"/>
    </row>
    <row r="219" spans="5:6" ht="12.75">
      <c r="E219" s="10"/>
      <c r="F219" s="10"/>
    </row>
    <row r="220" spans="5:6" ht="12.75">
      <c r="E220" s="10"/>
      <c r="F220" s="10"/>
    </row>
    <row r="221" spans="5:6" ht="12.75">
      <c r="E221" s="10"/>
      <c r="F221" s="10"/>
    </row>
    <row r="222" spans="5:6" ht="12.75">
      <c r="E222" s="10"/>
      <c r="F222" s="10"/>
    </row>
    <row r="223" spans="5:6" ht="12.75">
      <c r="E223" s="10"/>
      <c r="F223" s="10"/>
    </row>
    <row r="224" spans="5:6" ht="12.75">
      <c r="E224" s="10"/>
      <c r="F224" s="10"/>
    </row>
    <row r="225" spans="5:6" ht="12.75">
      <c r="E225" s="10"/>
      <c r="F225" s="10"/>
    </row>
    <row r="226" spans="5:6" ht="12.75">
      <c r="E226" s="10"/>
      <c r="F226" s="10"/>
    </row>
    <row r="227" spans="5:6" ht="12.75">
      <c r="E227" s="10"/>
      <c r="F227" s="10"/>
    </row>
    <row r="228" spans="5:6" ht="12.75">
      <c r="E228" s="10"/>
      <c r="F228" s="10"/>
    </row>
    <row r="229" spans="5:6" ht="12.75">
      <c r="E229" s="10"/>
      <c r="F229" s="10"/>
    </row>
    <row r="230" spans="5:6" ht="12.75">
      <c r="E230" s="10"/>
      <c r="F230" s="10"/>
    </row>
    <row r="231" spans="5:6" ht="12.75">
      <c r="E231" s="10"/>
      <c r="F231" s="10"/>
    </row>
    <row r="232" spans="5:6" ht="12.75">
      <c r="E232" s="10"/>
      <c r="F232" s="10"/>
    </row>
    <row r="233" spans="5:6" ht="12.75">
      <c r="E233" s="10"/>
      <c r="F233" s="10"/>
    </row>
    <row r="234" spans="5:6" ht="12.75">
      <c r="E234" s="10"/>
      <c r="F234" s="10"/>
    </row>
    <row r="235" spans="5:6" ht="12.75">
      <c r="E235" s="10"/>
      <c r="F235" s="10"/>
    </row>
    <row r="236" spans="5:6" ht="12.75">
      <c r="E236" s="10"/>
      <c r="F236" s="10"/>
    </row>
    <row r="237" spans="5:6" ht="12.75">
      <c r="E237" s="10"/>
      <c r="F237" s="10"/>
    </row>
    <row r="238" spans="5:6" ht="12.75">
      <c r="E238" s="10"/>
      <c r="F238" s="10"/>
    </row>
    <row r="239" spans="5:6" ht="12.75">
      <c r="E239" s="10"/>
      <c r="F239" s="10"/>
    </row>
    <row r="240" spans="5:6" ht="12.75">
      <c r="E240" s="10"/>
      <c r="F240" s="10"/>
    </row>
    <row r="65536" ht="12.75">
      <c r="E65536" s="10"/>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P195"/>
  <sheetViews>
    <sheetView showGridLines="0" zoomScalePageLayoutView="0" workbookViewId="0" topLeftCell="A1">
      <pane xSplit="1" ySplit="1" topLeftCell="B11" activePane="bottomRight" state="frozen"/>
      <selection pane="topLeft" activeCell="A1" sqref="A1"/>
      <selection pane="topRight" activeCell="B1" sqref="B1"/>
      <selection pane="bottomLeft" activeCell="A7" sqref="A7"/>
      <selection pane="bottomRight" activeCell="B1" sqref="B1"/>
    </sheetView>
  </sheetViews>
  <sheetFormatPr defaultColWidth="0" defaultRowHeight="12.75" zeroHeight="1"/>
  <cols>
    <col min="1" max="1" width="10.8515625" style="3" bestFit="1" customWidth="1"/>
    <col min="2" max="2" width="10.00390625" style="2" customWidth="1"/>
    <col min="3" max="3" width="14.7109375" style="1" bestFit="1" customWidth="1"/>
    <col min="4" max="4" width="14.28125" style="1" hidden="1" customWidth="1"/>
    <col min="5" max="5" width="15.57421875" style="2" hidden="1" customWidth="1"/>
    <col min="6" max="6" width="17.8515625" style="2" hidden="1" customWidth="1"/>
    <col min="7" max="7" width="13.8515625" style="2" hidden="1" customWidth="1"/>
    <col min="8" max="8" width="12.57421875" style="2" hidden="1" customWidth="1"/>
    <col min="9" max="9" width="10.140625" style="11" hidden="1" customWidth="1"/>
    <col min="10" max="10" width="12.140625" style="3" hidden="1" customWidth="1"/>
    <col min="11" max="11" width="14.57421875" style="3" hidden="1" customWidth="1"/>
    <col min="12" max="12" width="17.421875" style="75" bestFit="1" customWidth="1"/>
    <col min="13" max="13" width="18.421875" style="75" bestFit="1" customWidth="1"/>
    <col min="14" max="14" width="19.140625" style="75" bestFit="1" customWidth="1"/>
    <col min="15" max="15" width="18.421875" style="75" bestFit="1" customWidth="1"/>
    <col min="16" max="16" width="18.28125" style="75" hidden="1" customWidth="1"/>
    <col min="17" max="16384" width="10.00390625" style="75" hidden="1" customWidth="1"/>
  </cols>
  <sheetData>
    <row r="1" spans="1:15" s="71" customFormat="1" ht="26.25" thickBot="1">
      <c r="A1" s="229" t="s">
        <v>75</v>
      </c>
      <c r="B1" s="230" t="s">
        <v>76</v>
      </c>
      <c r="C1" s="231" t="s">
        <v>77</v>
      </c>
      <c r="D1" s="231" t="s">
        <v>32</v>
      </c>
      <c r="E1" s="230" t="s">
        <v>33</v>
      </c>
      <c r="F1" s="230" t="s">
        <v>34</v>
      </c>
      <c r="G1" s="230" t="s">
        <v>35</v>
      </c>
      <c r="H1" s="232" t="s">
        <v>10</v>
      </c>
      <c r="I1" s="233" t="s">
        <v>18</v>
      </c>
      <c r="J1" s="234" t="s">
        <v>19</v>
      </c>
      <c r="K1" s="235" t="s">
        <v>22</v>
      </c>
      <c r="L1" s="229" t="s">
        <v>78</v>
      </c>
      <c r="M1" s="231" t="s">
        <v>79</v>
      </c>
      <c r="N1" s="231" t="s">
        <v>80</v>
      </c>
      <c r="O1" s="236" t="s">
        <v>81</v>
      </c>
    </row>
    <row r="2" spans="1:15" ht="12.75">
      <c r="A2" s="4">
        <f>+'CALCULADORA TIPS Pesos N-20'!C12</f>
        <v>43742</v>
      </c>
      <c r="B2" s="9">
        <f>IF(DIAS365('CALCULADORA TIPS Pesos N-20'!$E$6,A2)&lt;0,0,DIAS365('CALCULADORA TIPS Pesos N-20'!$E$6,A2))</f>
        <v>0</v>
      </c>
      <c r="C2" s="5">
        <v>0</v>
      </c>
      <c r="D2" s="14">
        <f>+'CALCULADORA TIPS Pesos N-20'!F15/Flujos!C183</f>
        <v>100</v>
      </c>
      <c r="E2" s="15">
        <v>0</v>
      </c>
      <c r="F2" s="15">
        <v>0</v>
      </c>
      <c r="G2" s="15">
        <f>F2+E2</f>
        <v>0</v>
      </c>
      <c r="H2" s="22">
        <f>IF($B2&lt;0,0,G2/POWER(1+'CALCULADORA TIPS Pesos N-20'!$F$11,Flujos!$B2/365))</f>
        <v>0</v>
      </c>
      <c r="I2" s="23">
        <f>+A2</f>
        <v>43742</v>
      </c>
      <c r="J2" s="20">
        <v>0</v>
      </c>
      <c r="K2" s="12">
        <v>0</v>
      </c>
      <c r="L2" s="140">
        <f>+Características!B18/Flujos!C183</f>
        <v>284011411.18109006</v>
      </c>
      <c r="M2" s="73">
        <v>0</v>
      </c>
      <c r="N2" s="73">
        <v>0</v>
      </c>
      <c r="O2" s="74">
        <f>+N2+M2</f>
        <v>0</v>
      </c>
    </row>
    <row r="3" spans="1:15" ht="12.75">
      <c r="A3" s="4">
        <f aca="true" t="shared" si="0" ref="A3:A34">_XLL.FECHA.MES(A2,1)</f>
        <v>43773</v>
      </c>
      <c r="B3" s="9">
        <f>IF(DIAS365('CALCULADORA TIPS Pesos N-20'!$E$6,A3)&lt;0,0,DIAS365('CALCULADORA TIPS Pesos N-20'!$E$6,A3))</f>
        <v>0</v>
      </c>
      <c r="C3" s="5">
        <f>+HLOOKUP('CALCULADORA TIPS Pesos N-20'!$E$4,Tablas!$B$1:$C$181,Flujos!J3+1,FALSE)</f>
        <v>0</v>
      </c>
      <c r="D3" s="14">
        <f>+ROUND(D2-E3,6)</f>
        <v>100</v>
      </c>
      <c r="E3" s="15">
        <f>ROUND(C3*$D$2,6)</f>
        <v>0</v>
      </c>
      <c r="F3" s="15">
        <f>ROUND(D2*ROUND(((1+'CALCULADORA TIPS Pesos N-20'!$C$14)^(1/12)-1),6),6)</f>
        <v>0.4899</v>
      </c>
      <c r="G3" s="15">
        <f>F3+E3</f>
        <v>0.4899</v>
      </c>
      <c r="H3" s="22">
        <f>IF($B3=0,0,G3/POWER(1+'CALCULADORA TIPS Pesos N-20'!$F$11,Flujos!$B3/365))</f>
        <v>0</v>
      </c>
      <c r="I3" s="23">
        <f aca="true" t="shared" si="1" ref="I3:I66">+A3</f>
        <v>43773</v>
      </c>
      <c r="J3" s="20">
        <v>1</v>
      </c>
      <c r="K3" s="12">
        <f>+DIAS365($A$2,A3)</f>
        <v>31</v>
      </c>
      <c r="L3" s="140">
        <f>+L2-M3</f>
        <v>284011411.18109006</v>
      </c>
      <c r="M3" s="73">
        <f>+$L$2*C3</f>
        <v>0</v>
      </c>
      <c r="N3" s="73">
        <f>+L2*$F$3%</f>
        <v>1391371.9033761602</v>
      </c>
      <c r="O3" s="74">
        <f>+N3+M3</f>
        <v>1391371.9033761602</v>
      </c>
    </row>
    <row r="4" spans="1:15" ht="12.75">
      <c r="A4" s="4">
        <f t="shared" si="0"/>
        <v>43803</v>
      </c>
      <c r="B4" s="9">
        <f>IF(DIAS365('CALCULADORA TIPS Pesos N-20'!$E$6,A4)&lt;0,0,DIAS365('CALCULADORA TIPS Pesos N-20'!$E$6,A4))</f>
        <v>0</v>
      </c>
      <c r="C4" s="5">
        <f>+HLOOKUP('CALCULADORA TIPS Pesos N-20'!$E$4,Tablas!$B$1:$C$181,Flujos!J4+1,FALSE)</f>
        <v>0</v>
      </c>
      <c r="D4" s="14">
        <f aca="true" t="shared" si="2" ref="D4:D67">+ROUND(D3-E4,6)</f>
        <v>100</v>
      </c>
      <c r="E4" s="15">
        <f aca="true" t="shared" si="3" ref="E4:E67">ROUND(C4*$D$2,6)</f>
        <v>0</v>
      </c>
      <c r="F4" s="15">
        <f>ROUND(D3*ROUND(((1+'CALCULADORA TIPS Pesos N-20'!$C$14)^(1/12)-1),6),6)</f>
        <v>0.4899</v>
      </c>
      <c r="G4" s="15">
        <f aca="true" t="shared" si="4" ref="G4:G67">F4+E4</f>
        <v>0.4899</v>
      </c>
      <c r="H4" s="22">
        <f>IF($B4=0,0,G4/POWER(1+'CALCULADORA TIPS Pesos N-20'!$F$11,Flujos!$B4/365))</f>
        <v>0</v>
      </c>
      <c r="I4" s="23">
        <f t="shared" si="1"/>
        <v>43803</v>
      </c>
      <c r="J4" s="20">
        <v>2</v>
      </c>
      <c r="K4" s="12">
        <f aca="true" t="shared" si="5" ref="K4:K67">+DIAS365($A$2,A4)</f>
        <v>61</v>
      </c>
      <c r="L4" s="140">
        <f aca="true" t="shared" si="6" ref="L4:L67">+L3-M4</f>
        <v>284011411.18109006</v>
      </c>
      <c r="M4" s="73">
        <f aca="true" t="shared" si="7" ref="M4:M67">+$L$2*C4</f>
        <v>0</v>
      </c>
      <c r="N4" s="73">
        <f aca="true" t="shared" si="8" ref="N4:N67">+L3*$F$3%</f>
        <v>1391371.9033761602</v>
      </c>
      <c r="O4" s="74">
        <f aca="true" t="shared" si="9" ref="O4:O67">+N4+M4</f>
        <v>1391371.9033761602</v>
      </c>
    </row>
    <row r="5" spans="1:15" s="139" customFormat="1" ht="12.75">
      <c r="A5" s="127">
        <f t="shared" si="0"/>
        <v>43834</v>
      </c>
      <c r="B5" s="128">
        <f>IF(DIAS365('CALCULADORA TIPS Pesos N-20'!$E$6,A5)&lt;0,0,DIAS365('CALCULADORA TIPS Pesos N-20'!$E$6,A5))</f>
        <v>0</v>
      </c>
      <c r="C5" s="237">
        <f>+HLOOKUP('CALCULADORA TIPS Pesos N-20'!$E$4,Tablas!$B$1:$C$181,Flujos!J5+1,FALSE)</f>
        <v>0</v>
      </c>
      <c r="D5" s="238">
        <f t="shared" si="2"/>
        <v>100</v>
      </c>
      <c r="E5" s="239">
        <f t="shared" si="3"/>
        <v>0</v>
      </c>
      <c r="F5" s="239">
        <f>ROUND(D4*ROUND(((1+'CALCULADORA TIPS Pesos N-20'!$C$14)^(1/12)-1),6),6)</f>
        <v>0.4899</v>
      </c>
      <c r="G5" s="239">
        <f t="shared" si="4"/>
        <v>0.4899</v>
      </c>
      <c r="H5" s="132">
        <f>IF($B5=0,0,G5/POWER(1+'CALCULADORA TIPS Pesos N-20'!$F$11,Flujos!$B5/365))</f>
        <v>0</v>
      </c>
      <c r="I5" s="133">
        <f t="shared" si="1"/>
        <v>43834</v>
      </c>
      <c r="J5" s="134">
        <v>3</v>
      </c>
      <c r="K5" s="135">
        <f t="shared" si="5"/>
        <v>92</v>
      </c>
      <c r="L5" s="240">
        <f t="shared" si="6"/>
        <v>284011411.18109006</v>
      </c>
      <c r="M5" s="137">
        <f t="shared" si="7"/>
        <v>0</v>
      </c>
      <c r="N5" s="137">
        <f t="shared" si="8"/>
        <v>1391371.9033761602</v>
      </c>
      <c r="O5" s="138">
        <f t="shared" si="9"/>
        <v>1391371.9033761602</v>
      </c>
    </row>
    <row r="6" spans="1:15" ht="12.75">
      <c r="A6" s="4">
        <f t="shared" si="0"/>
        <v>43865</v>
      </c>
      <c r="B6" s="9">
        <f>IF(DIAS365('CALCULADORA TIPS Pesos N-20'!$E$6,A6)&lt;0,0,DIAS365('CALCULADORA TIPS Pesos N-20'!$E$6,A6))</f>
        <v>0</v>
      </c>
      <c r="C6" s="5">
        <f>+HLOOKUP('CALCULADORA TIPS Pesos N-20'!$E$4,Tablas!$B$1:$C$181,Flujos!J6+1,FALSE)</f>
        <v>0</v>
      </c>
      <c r="D6" s="14">
        <f t="shared" si="2"/>
        <v>100</v>
      </c>
      <c r="E6" s="15">
        <f t="shared" si="3"/>
        <v>0</v>
      </c>
      <c r="F6" s="15">
        <f>ROUND(D5*ROUND(((1+'CALCULADORA TIPS Pesos N-20'!$C$14)^(1/12)-1),6),6)</f>
        <v>0.4899</v>
      </c>
      <c r="G6" s="15">
        <f t="shared" si="4"/>
        <v>0.4899</v>
      </c>
      <c r="H6" s="22">
        <f>IF($B6=0,0,G6/POWER(1+'CALCULADORA TIPS Pesos N-20'!$F$11,Flujos!$B6/365))</f>
        <v>0</v>
      </c>
      <c r="I6" s="23">
        <f t="shared" si="1"/>
        <v>43865</v>
      </c>
      <c r="J6" s="20">
        <v>4</v>
      </c>
      <c r="K6" s="12">
        <f t="shared" si="5"/>
        <v>123</v>
      </c>
      <c r="L6" s="72">
        <f t="shared" si="6"/>
        <v>284011411.18109006</v>
      </c>
      <c r="M6" s="73">
        <f t="shared" si="7"/>
        <v>0</v>
      </c>
      <c r="N6" s="73">
        <f t="shared" si="8"/>
        <v>1391371.9033761602</v>
      </c>
      <c r="O6" s="74">
        <f t="shared" si="9"/>
        <v>1391371.9033761602</v>
      </c>
    </row>
    <row r="7" spans="1:16" ht="12.75">
      <c r="A7" s="4">
        <f t="shared" si="0"/>
        <v>43894</v>
      </c>
      <c r="B7" s="9">
        <f>IF(DIAS365('CALCULADORA TIPS Pesos N-20'!$E$6,A7)&lt;0,0,DIAS365('CALCULADORA TIPS Pesos N-20'!$E$6,A7))</f>
        <v>0</v>
      </c>
      <c r="C7" s="5">
        <f>+HLOOKUP('CALCULADORA TIPS Pesos N-20'!$E$4,Tablas!$B$1:$C$181,Flujos!J7+1,FALSE)</f>
        <v>0</v>
      </c>
      <c r="D7" s="14">
        <f t="shared" si="2"/>
        <v>100</v>
      </c>
      <c r="E7" s="15">
        <f t="shared" si="3"/>
        <v>0</v>
      </c>
      <c r="F7" s="15">
        <f>ROUND(D6*ROUND(((1+'CALCULADORA TIPS Pesos N-20'!$C$14)^(1/12)-1),6),6)</f>
        <v>0.4899</v>
      </c>
      <c r="G7" s="15">
        <f t="shared" si="4"/>
        <v>0.4899</v>
      </c>
      <c r="H7" s="22">
        <f>IF($B7=0,0,G7/POWER(1+'CALCULADORA TIPS Pesos N-20'!$F$11,Flujos!$B7/365))</f>
        <v>0</v>
      </c>
      <c r="I7" s="23">
        <f t="shared" si="1"/>
        <v>43894</v>
      </c>
      <c r="J7" s="20">
        <v>5</v>
      </c>
      <c r="K7" s="12">
        <f t="shared" si="5"/>
        <v>151</v>
      </c>
      <c r="L7" s="72">
        <f t="shared" si="6"/>
        <v>284011411.18109006</v>
      </c>
      <c r="M7" s="73">
        <f t="shared" si="7"/>
        <v>0</v>
      </c>
      <c r="N7" s="73">
        <f t="shared" si="8"/>
        <v>1391371.9033761602</v>
      </c>
      <c r="O7" s="74">
        <f t="shared" si="9"/>
        <v>1391371.9033761602</v>
      </c>
      <c r="P7" s="77"/>
    </row>
    <row r="8" spans="1:16" ht="12.75">
      <c r="A8" s="4">
        <f t="shared" si="0"/>
        <v>43925</v>
      </c>
      <c r="B8" s="9">
        <f>IF(DIAS365('CALCULADORA TIPS Pesos N-20'!$E$6,A8)&lt;0,0,DIAS365('CALCULADORA TIPS Pesos N-20'!$E$6,A8))</f>
        <v>0</v>
      </c>
      <c r="C8" s="5">
        <f>+HLOOKUP('CALCULADORA TIPS Pesos N-20'!$E$4,Tablas!$B$1:$C$181,Flujos!J8+1,FALSE)</f>
        <v>0</v>
      </c>
      <c r="D8" s="14">
        <f t="shared" si="2"/>
        <v>100</v>
      </c>
      <c r="E8" s="15">
        <f t="shared" si="3"/>
        <v>0</v>
      </c>
      <c r="F8" s="15">
        <f>ROUND(D7*ROUND(((1+'CALCULADORA TIPS Pesos N-20'!$C$14)^(1/12)-1),6),6)</f>
        <v>0.4899</v>
      </c>
      <c r="G8" s="15">
        <f t="shared" si="4"/>
        <v>0.4899</v>
      </c>
      <c r="H8" s="22">
        <f>IF($B8=0,0,G8/POWER(1+'CALCULADORA TIPS Pesos N-20'!$F$11,Flujos!$B8/365))</f>
        <v>0</v>
      </c>
      <c r="I8" s="23">
        <f t="shared" si="1"/>
        <v>43925</v>
      </c>
      <c r="J8" s="20">
        <v>6</v>
      </c>
      <c r="K8" s="12">
        <f t="shared" si="5"/>
        <v>182</v>
      </c>
      <c r="L8" s="72">
        <f t="shared" si="6"/>
        <v>284011411.18109006</v>
      </c>
      <c r="M8" s="73">
        <f t="shared" si="7"/>
        <v>0</v>
      </c>
      <c r="N8" s="73">
        <f t="shared" si="8"/>
        <v>1391371.9033761602</v>
      </c>
      <c r="O8" s="74">
        <f t="shared" si="9"/>
        <v>1391371.9033761602</v>
      </c>
      <c r="P8" s="77"/>
    </row>
    <row r="9" spans="1:16" s="139" customFormat="1" ht="12.75">
      <c r="A9" s="127">
        <f t="shared" si="0"/>
        <v>43955</v>
      </c>
      <c r="B9" s="128">
        <f>IF(DIAS365('CALCULADORA TIPS Pesos N-20'!$E$6,A9)&lt;0,0,DIAS365('CALCULADORA TIPS Pesos N-20'!$E$6,A9))</f>
        <v>0</v>
      </c>
      <c r="C9" s="237">
        <f>+HLOOKUP('CALCULADORA TIPS Pesos N-20'!$E$4,Tablas!$B$1:$C$181,Flujos!J9+1,FALSE)</f>
        <v>0</v>
      </c>
      <c r="D9" s="238">
        <f t="shared" si="2"/>
        <v>100</v>
      </c>
      <c r="E9" s="239">
        <f t="shared" si="3"/>
        <v>0</v>
      </c>
      <c r="F9" s="239">
        <f>ROUND(D8*ROUND(((1+'CALCULADORA TIPS Pesos N-20'!$C$14)^(1/12)-1),6),6)</f>
        <v>0.4899</v>
      </c>
      <c r="G9" s="239">
        <f t="shared" si="4"/>
        <v>0.4899</v>
      </c>
      <c r="H9" s="132">
        <f>IF($B9=0,0,G9/POWER(1+'CALCULADORA TIPS Pesos N-20'!$F$11,Flujos!$B9/365))</f>
        <v>0</v>
      </c>
      <c r="I9" s="133">
        <f t="shared" si="1"/>
        <v>43955</v>
      </c>
      <c r="J9" s="134">
        <v>7</v>
      </c>
      <c r="K9" s="135">
        <f t="shared" si="5"/>
        <v>212</v>
      </c>
      <c r="L9" s="240">
        <f t="shared" si="6"/>
        <v>284011411.18109006</v>
      </c>
      <c r="M9" s="137">
        <f t="shared" si="7"/>
        <v>0</v>
      </c>
      <c r="N9" s="137">
        <f t="shared" si="8"/>
        <v>1391371.9033761602</v>
      </c>
      <c r="O9" s="138">
        <f t="shared" si="9"/>
        <v>1391371.9033761602</v>
      </c>
      <c r="P9" s="249"/>
    </row>
    <row r="10" spans="1:16" ht="12.75">
      <c r="A10" s="4">
        <f t="shared" si="0"/>
        <v>43986</v>
      </c>
      <c r="B10" s="9">
        <f>IF(DIAS365('CALCULADORA TIPS Pesos N-20'!$E$6,A10)&lt;0,0,DIAS365('CALCULADORA TIPS Pesos N-20'!$E$6,A10))</f>
        <v>0</v>
      </c>
      <c r="C10" s="5">
        <f>+HLOOKUP('CALCULADORA TIPS Pesos N-20'!$E$4,Tablas!$B$1:$C$181,Flujos!J10+1,FALSE)</f>
        <v>0</v>
      </c>
      <c r="D10" s="14">
        <f t="shared" si="2"/>
        <v>100</v>
      </c>
      <c r="E10" s="15">
        <f t="shared" si="3"/>
        <v>0</v>
      </c>
      <c r="F10" s="15">
        <f>ROUND(D9*ROUND(((1+'CALCULADORA TIPS Pesos N-20'!$C$14)^(1/12)-1),6),6)</f>
        <v>0.4899</v>
      </c>
      <c r="G10" s="15">
        <f t="shared" si="4"/>
        <v>0.4899</v>
      </c>
      <c r="H10" s="22">
        <f>IF($B10=0,0,G10/POWER(1+'CALCULADORA TIPS Pesos N-20'!$F$11,Flujos!$B10/365))</f>
        <v>0</v>
      </c>
      <c r="I10" s="23">
        <f t="shared" si="1"/>
        <v>43986</v>
      </c>
      <c r="J10" s="20">
        <v>8</v>
      </c>
      <c r="K10" s="12">
        <f t="shared" si="5"/>
        <v>243</v>
      </c>
      <c r="L10" s="72">
        <f t="shared" si="6"/>
        <v>284011411.18109006</v>
      </c>
      <c r="M10" s="73">
        <f t="shared" si="7"/>
        <v>0</v>
      </c>
      <c r="N10" s="73">
        <f t="shared" si="8"/>
        <v>1391371.9033761602</v>
      </c>
      <c r="O10" s="74">
        <f t="shared" si="9"/>
        <v>1391371.9033761602</v>
      </c>
      <c r="P10" s="77"/>
    </row>
    <row r="11" spans="1:16" s="251" customFormat="1" ht="12.75">
      <c r="A11" s="4">
        <f t="shared" si="0"/>
        <v>44016</v>
      </c>
      <c r="B11" s="9">
        <f>IF(DIAS365('CALCULADORA TIPS Pesos N-20'!$E$6,A11)&lt;0,0,DIAS365('CALCULADORA TIPS Pesos N-20'!$E$6,A11))</f>
        <v>0</v>
      </c>
      <c r="C11" s="5">
        <f>+HLOOKUP('CALCULADORA TIPS Pesos N-20'!$E$4,Tablas!$B$1:$C$181,Flujos!J11+1,FALSE)</f>
        <v>0</v>
      </c>
      <c r="D11" s="14">
        <f t="shared" si="2"/>
        <v>100</v>
      </c>
      <c r="E11" s="15">
        <f t="shared" si="3"/>
        <v>0</v>
      </c>
      <c r="F11" s="15">
        <f>ROUND(D10*ROUND(((1+'CALCULADORA TIPS Pesos N-20'!$C$14)^(1/12)-1),6),6)</f>
        <v>0.4899</v>
      </c>
      <c r="G11" s="15">
        <f t="shared" si="4"/>
        <v>0.4899</v>
      </c>
      <c r="H11" s="22">
        <f>IF($B11=0,0,G11/POWER(1+'CALCULADORA TIPS Pesos N-20'!$F$11,Flujos!$B11/365))</f>
        <v>0</v>
      </c>
      <c r="I11" s="23">
        <f t="shared" si="1"/>
        <v>44016</v>
      </c>
      <c r="J11" s="20">
        <v>9</v>
      </c>
      <c r="K11" s="12">
        <f t="shared" si="5"/>
        <v>273</v>
      </c>
      <c r="L11" s="72">
        <f t="shared" si="6"/>
        <v>284011411.18109006</v>
      </c>
      <c r="M11" s="73">
        <f t="shared" si="7"/>
        <v>0</v>
      </c>
      <c r="N11" s="73">
        <f t="shared" si="8"/>
        <v>1391371.9033761602</v>
      </c>
      <c r="O11" s="74">
        <f t="shared" si="9"/>
        <v>1391371.9033761602</v>
      </c>
      <c r="P11" s="250"/>
    </row>
    <row r="12" spans="1:16" ht="12.75">
      <c r="A12" s="4">
        <f t="shared" si="0"/>
        <v>44047</v>
      </c>
      <c r="B12" s="9">
        <f>IF(DIAS365('CALCULADORA TIPS Pesos N-20'!$E$6,A12)&lt;0,0,DIAS365('CALCULADORA TIPS Pesos N-20'!$E$6,A12))</f>
        <v>0</v>
      </c>
      <c r="C12" s="252">
        <f>+HLOOKUP('CALCULADORA TIPS Pesos N-20'!$E$4,Tablas!$B$1:$C$181,Flujos!J12+1,FALSE)</f>
        <v>0</v>
      </c>
      <c r="D12" s="253">
        <f t="shared" si="2"/>
        <v>100</v>
      </c>
      <c r="E12" s="254">
        <f t="shared" si="3"/>
        <v>0</v>
      </c>
      <c r="F12" s="254">
        <f>ROUND(D11*ROUND(((1+'CALCULADORA TIPS Pesos N-20'!$C$14)^(1/12)-1),6),6)</f>
        <v>0.4899</v>
      </c>
      <c r="G12" s="254">
        <f t="shared" si="4"/>
        <v>0.4899</v>
      </c>
      <c r="H12" s="22">
        <f>IF($B12=0,0,G12/POWER(1+'CALCULADORA TIPS Pesos N-20'!$F$11,Flujos!$B12/365))</f>
        <v>0</v>
      </c>
      <c r="I12" s="23">
        <f t="shared" si="1"/>
        <v>44047</v>
      </c>
      <c r="J12" s="20">
        <v>10</v>
      </c>
      <c r="K12" s="12">
        <f t="shared" si="5"/>
        <v>304</v>
      </c>
      <c r="L12" s="72">
        <f t="shared" si="6"/>
        <v>284011411.18109006</v>
      </c>
      <c r="M12" s="73">
        <f t="shared" si="7"/>
        <v>0</v>
      </c>
      <c r="N12" s="73">
        <f t="shared" si="8"/>
        <v>1391371.9033761602</v>
      </c>
      <c r="O12" s="74">
        <f t="shared" si="9"/>
        <v>1391371.9033761602</v>
      </c>
      <c r="P12" s="77"/>
    </row>
    <row r="13" spans="1:15" s="139" customFormat="1" ht="12.75">
      <c r="A13" s="4">
        <f t="shared" si="0"/>
        <v>44078</v>
      </c>
      <c r="B13" s="9">
        <f>IF(DIAS365('CALCULADORA TIPS Pesos N-20'!$E$6,A13)&lt;0,0,DIAS365('CALCULADORA TIPS Pesos N-20'!$E$6,A13))</f>
        <v>0</v>
      </c>
      <c r="C13" s="5">
        <f>+HLOOKUP('CALCULADORA TIPS Pesos N-20'!$E$4,Tablas!$B$1:$C$181,Flujos!J13+1,FALSE)</f>
        <v>0</v>
      </c>
      <c r="D13" s="14">
        <f t="shared" si="2"/>
        <v>100</v>
      </c>
      <c r="E13" s="15">
        <f t="shared" si="3"/>
        <v>0</v>
      </c>
      <c r="F13" s="15">
        <f>ROUND(D12*ROUND(((1+'CALCULADORA TIPS Pesos N-20'!$C$14)^(1/12)-1),6),6)</f>
        <v>0.4899</v>
      </c>
      <c r="G13" s="15">
        <f t="shared" si="4"/>
        <v>0.4899</v>
      </c>
      <c r="H13" s="22">
        <f>IF($B13=0,0,G13/POWER(1+'CALCULADORA TIPS Pesos N-20'!$F$11,Flujos!$B13/365))</f>
        <v>0</v>
      </c>
      <c r="I13" s="23">
        <f t="shared" si="1"/>
        <v>44078</v>
      </c>
      <c r="J13" s="20">
        <v>11</v>
      </c>
      <c r="K13" s="12">
        <f t="shared" si="5"/>
        <v>335</v>
      </c>
      <c r="L13" s="76">
        <f t="shared" si="6"/>
        <v>284011411.18109006</v>
      </c>
      <c r="M13" s="73">
        <f t="shared" si="7"/>
        <v>0</v>
      </c>
      <c r="N13" s="73">
        <f t="shared" si="8"/>
        <v>1391371.9033761602</v>
      </c>
      <c r="O13" s="74">
        <f t="shared" si="9"/>
        <v>1391371.9033761602</v>
      </c>
    </row>
    <row r="14" spans="1:15" s="139" customFormat="1" ht="12.75">
      <c r="A14" s="4">
        <f t="shared" si="0"/>
        <v>44108</v>
      </c>
      <c r="B14" s="9">
        <f>IF(DIAS365('CALCULADORA TIPS Pesos N-20'!$E$6,A14)&lt;0,0,DIAS365('CALCULADORA TIPS Pesos N-20'!$E$6,A14))</f>
        <v>0</v>
      </c>
      <c r="C14" s="5">
        <f>+HLOOKUP('CALCULADORA TIPS Pesos N-20'!$E$4,Tablas!$B$1:$C$181,Flujos!J14+1,FALSE)</f>
        <v>0</v>
      </c>
      <c r="D14" s="14">
        <f t="shared" si="2"/>
        <v>100</v>
      </c>
      <c r="E14" s="15">
        <f t="shared" si="3"/>
        <v>0</v>
      </c>
      <c r="F14" s="15">
        <f>ROUND(D13*ROUND(((1+'CALCULADORA TIPS Pesos N-20'!$C$14)^(1/12)-1),6),6)</f>
        <v>0.4899</v>
      </c>
      <c r="G14" s="15">
        <f t="shared" si="4"/>
        <v>0.4899</v>
      </c>
      <c r="H14" s="22">
        <f>IF($B14=0,0,G14/POWER(1+'CALCULADORA TIPS Pesos N-20'!$F$11,Flujos!$B14/365))</f>
        <v>0</v>
      </c>
      <c r="I14" s="23">
        <f t="shared" si="1"/>
        <v>44108</v>
      </c>
      <c r="J14" s="20">
        <v>12</v>
      </c>
      <c r="K14" s="12">
        <f t="shared" si="5"/>
        <v>365</v>
      </c>
      <c r="L14" s="76">
        <f t="shared" si="6"/>
        <v>284011411.18109006</v>
      </c>
      <c r="M14" s="73">
        <f t="shared" si="7"/>
        <v>0</v>
      </c>
      <c r="N14" s="73">
        <f t="shared" si="8"/>
        <v>1391371.9033761602</v>
      </c>
      <c r="O14" s="74">
        <f t="shared" si="9"/>
        <v>1391371.9033761602</v>
      </c>
    </row>
    <row r="15" spans="1:15" s="139" customFormat="1" ht="12.75">
      <c r="A15" s="4">
        <f t="shared" si="0"/>
        <v>44139</v>
      </c>
      <c r="B15" s="9">
        <f>IF(DIAS365('CALCULADORA TIPS Pesos N-20'!$E$6,A15)&lt;0,0,DIAS365('CALCULADORA TIPS Pesos N-20'!$E$6,A15))</f>
        <v>0</v>
      </c>
      <c r="C15" s="5">
        <f>+HLOOKUP('CALCULADORA TIPS Pesos N-20'!$E$4,Tablas!$B$1:$C$181,Flujos!J15+1,FALSE)</f>
        <v>0</v>
      </c>
      <c r="D15" s="14">
        <f t="shared" si="2"/>
        <v>100</v>
      </c>
      <c r="E15" s="15">
        <f t="shared" si="3"/>
        <v>0</v>
      </c>
      <c r="F15" s="15">
        <f>ROUND(D14*ROUND(((1+'CALCULADORA TIPS Pesos N-20'!$C$14)^(1/12)-1),6),6)</f>
        <v>0.4899</v>
      </c>
      <c r="G15" s="15">
        <f t="shared" si="4"/>
        <v>0.4899</v>
      </c>
      <c r="H15" s="22">
        <f>IF($B15=0,0,G15/POWER(1+'CALCULADORA TIPS Pesos N-20'!$F$11,Flujos!$B15/365))</f>
        <v>0</v>
      </c>
      <c r="I15" s="23">
        <f t="shared" si="1"/>
        <v>44139</v>
      </c>
      <c r="J15" s="20">
        <v>13</v>
      </c>
      <c r="K15" s="12">
        <f t="shared" si="5"/>
        <v>396</v>
      </c>
      <c r="L15" s="76">
        <f t="shared" si="6"/>
        <v>284011411.18109006</v>
      </c>
      <c r="M15" s="73">
        <f t="shared" si="7"/>
        <v>0</v>
      </c>
      <c r="N15" s="73">
        <f t="shared" si="8"/>
        <v>1391371.9033761602</v>
      </c>
      <c r="O15" s="74">
        <f t="shared" si="9"/>
        <v>1391371.9033761602</v>
      </c>
    </row>
    <row r="16" spans="1:15" s="139" customFormat="1" ht="12.75">
      <c r="A16" s="127">
        <f t="shared" si="0"/>
        <v>44169</v>
      </c>
      <c r="B16" s="128">
        <f>IF(DIAS365('CALCULADORA TIPS Pesos N-20'!$E$6,A16)&lt;0,0,DIAS365('CALCULADORA TIPS Pesos N-20'!$E$6,A16))</f>
        <v>0</v>
      </c>
      <c r="C16" s="129">
        <f>+HLOOKUP('CALCULADORA TIPS Pesos N-20'!$E$4,Tablas!$B$1:$C$181,Flujos!J16+1,FALSE)</f>
        <v>0</v>
      </c>
      <c r="D16" s="130">
        <f t="shared" si="2"/>
        <v>100</v>
      </c>
      <c r="E16" s="131">
        <f t="shared" si="3"/>
        <v>0</v>
      </c>
      <c r="F16" s="131">
        <f>ROUND(D15*ROUND(((1+'CALCULADORA TIPS Pesos N-20'!$C$14)^(1/12)-1),6),6)</f>
        <v>0.4899</v>
      </c>
      <c r="G16" s="131">
        <f t="shared" si="4"/>
        <v>0.4899</v>
      </c>
      <c r="H16" s="132">
        <f>IF($B16=0,0,G16/POWER(1+'CALCULADORA TIPS Pesos N-20'!$F$11,Flujos!$B16/365))</f>
        <v>0</v>
      </c>
      <c r="I16" s="133">
        <f t="shared" si="1"/>
        <v>44169</v>
      </c>
      <c r="J16" s="134">
        <v>14</v>
      </c>
      <c r="K16" s="135">
        <f t="shared" si="5"/>
        <v>426</v>
      </c>
      <c r="L16" s="136">
        <f t="shared" si="6"/>
        <v>284011411.18109006</v>
      </c>
      <c r="M16" s="137">
        <f t="shared" si="7"/>
        <v>0</v>
      </c>
      <c r="N16" s="137">
        <f t="shared" si="8"/>
        <v>1391371.9033761602</v>
      </c>
      <c r="O16" s="138">
        <f t="shared" si="9"/>
        <v>1391371.9033761602</v>
      </c>
    </row>
    <row r="17" spans="1:15" s="139" customFormat="1" ht="12.75">
      <c r="A17" s="127">
        <f t="shared" si="0"/>
        <v>44200</v>
      </c>
      <c r="B17" s="128">
        <f>IF(DIAS365('CALCULADORA TIPS Pesos N-20'!$E$6,A17)&lt;0,0,DIAS365('CALCULADORA TIPS Pesos N-20'!$E$6,A17))</f>
        <v>0</v>
      </c>
      <c r="C17" s="237">
        <f>+HLOOKUP('CALCULADORA TIPS Pesos N-20'!$E$4,Tablas!$B$1:$C$181,Flujos!J17+1,FALSE)</f>
        <v>0</v>
      </c>
      <c r="D17" s="238">
        <f t="shared" si="2"/>
        <v>100</v>
      </c>
      <c r="E17" s="239">
        <f t="shared" si="3"/>
        <v>0</v>
      </c>
      <c r="F17" s="239">
        <f>ROUND(D16*ROUND(((1+'CALCULADORA TIPS Pesos N-20'!$C$14)^(1/12)-1),6),6)</f>
        <v>0.4899</v>
      </c>
      <c r="G17" s="239">
        <f t="shared" si="4"/>
        <v>0.4899</v>
      </c>
      <c r="H17" s="132">
        <f>IF($B17=0,0,G17/POWER(1+'CALCULADORA TIPS Pesos N-20'!$F$11,Flujos!$B17/365))</f>
        <v>0</v>
      </c>
      <c r="I17" s="133">
        <f t="shared" si="1"/>
        <v>44200</v>
      </c>
      <c r="J17" s="134">
        <v>15</v>
      </c>
      <c r="K17" s="135">
        <f t="shared" si="5"/>
        <v>457</v>
      </c>
      <c r="L17" s="136">
        <f t="shared" si="6"/>
        <v>284011411.18109006</v>
      </c>
      <c r="M17" s="137">
        <f t="shared" si="7"/>
        <v>0</v>
      </c>
      <c r="N17" s="137">
        <f t="shared" si="8"/>
        <v>1391371.9033761602</v>
      </c>
      <c r="O17" s="138">
        <f t="shared" si="9"/>
        <v>1391371.9033761602</v>
      </c>
    </row>
    <row r="18" spans="1:15" s="139" customFormat="1" ht="12.75">
      <c r="A18" s="127">
        <f t="shared" si="0"/>
        <v>44231</v>
      </c>
      <c r="B18" s="128">
        <f>IF(DIAS365('CALCULADORA TIPS Pesos N-20'!$E$6,A18)&lt;0,0,DIAS365('CALCULADORA TIPS Pesos N-20'!$E$6,A18))</f>
        <v>0</v>
      </c>
      <c r="C18" s="237">
        <f>+HLOOKUP('CALCULADORA TIPS Pesos N-20'!$E$4,Tablas!$B$1:$C$181,Flujos!J18+1,FALSE)</f>
        <v>0</v>
      </c>
      <c r="D18" s="238">
        <f t="shared" si="2"/>
        <v>100</v>
      </c>
      <c r="E18" s="239">
        <f t="shared" si="3"/>
        <v>0</v>
      </c>
      <c r="F18" s="239">
        <f>ROUND(D17*ROUND(((1+'CALCULADORA TIPS Pesos N-20'!$C$14)^(1/12)-1),6),6)</f>
        <v>0.4899</v>
      </c>
      <c r="G18" s="239">
        <f t="shared" si="4"/>
        <v>0.4899</v>
      </c>
      <c r="H18" s="132">
        <f>IF($B18=0,0,G18/POWER(1+'CALCULADORA TIPS Pesos N-20'!$F$11,Flujos!$B18/365))</f>
        <v>0</v>
      </c>
      <c r="I18" s="133">
        <f t="shared" si="1"/>
        <v>44231</v>
      </c>
      <c r="J18" s="134">
        <v>16</v>
      </c>
      <c r="K18" s="135">
        <f t="shared" si="5"/>
        <v>488</v>
      </c>
      <c r="L18" s="136">
        <f t="shared" si="6"/>
        <v>284011411.18109006</v>
      </c>
      <c r="M18" s="137">
        <f t="shared" si="7"/>
        <v>0</v>
      </c>
      <c r="N18" s="137">
        <f t="shared" si="8"/>
        <v>1391371.9033761602</v>
      </c>
      <c r="O18" s="138">
        <f t="shared" si="9"/>
        <v>1391371.9033761602</v>
      </c>
    </row>
    <row r="19" spans="1:15" s="139" customFormat="1" ht="12.75">
      <c r="A19" s="127">
        <f t="shared" si="0"/>
        <v>44259</v>
      </c>
      <c r="B19" s="128">
        <f>IF(DIAS365('CALCULADORA TIPS Pesos N-20'!$E$6,A19)&lt;0,0,DIAS365('CALCULADORA TIPS Pesos N-20'!$E$6,A19))</f>
        <v>0</v>
      </c>
      <c r="C19" s="237">
        <f>+HLOOKUP('CALCULADORA TIPS Pesos N-20'!$E$4,Tablas!$B$1:$C$181,Flujos!J19+1,FALSE)</f>
        <v>0</v>
      </c>
      <c r="D19" s="238">
        <f t="shared" si="2"/>
        <v>100</v>
      </c>
      <c r="E19" s="239">
        <f t="shared" si="3"/>
        <v>0</v>
      </c>
      <c r="F19" s="239">
        <f>ROUND(D18*ROUND(((1+'CALCULADORA TIPS Pesos N-20'!$C$14)^(1/12)-1),6),6)</f>
        <v>0.4899</v>
      </c>
      <c r="G19" s="239">
        <f t="shared" si="4"/>
        <v>0.4899</v>
      </c>
      <c r="H19" s="132">
        <f>IF($B19=0,0,G19/POWER(1+'CALCULADORA TIPS Pesos N-20'!$F$11,Flujos!$B19/365))</f>
        <v>0</v>
      </c>
      <c r="I19" s="133">
        <f t="shared" si="1"/>
        <v>44259</v>
      </c>
      <c r="J19" s="134">
        <v>17</v>
      </c>
      <c r="K19" s="135">
        <f t="shared" si="5"/>
        <v>516</v>
      </c>
      <c r="L19" s="136">
        <f t="shared" si="6"/>
        <v>284011411.18109006</v>
      </c>
      <c r="M19" s="137">
        <f t="shared" si="7"/>
        <v>0</v>
      </c>
      <c r="N19" s="137">
        <f t="shared" si="8"/>
        <v>1391371.9033761602</v>
      </c>
      <c r="O19" s="138">
        <f t="shared" si="9"/>
        <v>1391371.9033761602</v>
      </c>
    </row>
    <row r="20" spans="1:15" s="251" customFormat="1" ht="12.75">
      <c r="A20" s="127">
        <f t="shared" si="0"/>
        <v>44290</v>
      </c>
      <c r="B20" s="128">
        <f>IF(DIAS365('CALCULADORA TIPS Pesos N-20'!$E$6,A20)&lt;0,0,DIAS365('CALCULADORA TIPS Pesos N-20'!$E$6,A20))</f>
        <v>0</v>
      </c>
      <c r="C20" s="237">
        <f>+HLOOKUP('CALCULADORA TIPS Pesos N-20'!$E$4,Tablas!$B$1:$C$181,Flujos!J20+1,FALSE)</f>
        <v>0</v>
      </c>
      <c r="D20" s="238">
        <f t="shared" si="2"/>
        <v>100</v>
      </c>
      <c r="E20" s="239">
        <f t="shared" si="3"/>
        <v>0</v>
      </c>
      <c r="F20" s="239">
        <f>ROUND(D19*ROUND(((1+'CALCULADORA TIPS Pesos N-20'!$C$14)^(1/12)-1),6),6)</f>
        <v>0.4899</v>
      </c>
      <c r="G20" s="239">
        <f t="shared" si="4"/>
        <v>0.4899</v>
      </c>
      <c r="H20" s="132">
        <f>IF($B20=0,0,G20/POWER(1+'CALCULADORA TIPS Pesos N-20'!$F$11,Flujos!$B20/365))</f>
        <v>0</v>
      </c>
      <c r="I20" s="133">
        <f t="shared" si="1"/>
        <v>44290</v>
      </c>
      <c r="J20" s="134">
        <v>18</v>
      </c>
      <c r="K20" s="135">
        <f t="shared" si="5"/>
        <v>547</v>
      </c>
      <c r="L20" s="136">
        <f t="shared" si="6"/>
        <v>284011411.18109006</v>
      </c>
      <c r="M20" s="137">
        <f t="shared" si="7"/>
        <v>0</v>
      </c>
      <c r="N20" s="137">
        <f t="shared" si="8"/>
        <v>1391371.9033761602</v>
      </c>
      <c r="O20" s="138">
        <f t="shared" si="9"/>
        <v>1391371.9033761602</v>
      </c>
    </row>
    <row r="21" spans="1:15" s="139" customFormat="1" ht="12.75">
      <c r="A21" s="127">
        <f t="shared" si="0"/>
        <v>44320</v>
      </c>
      <c r="B21" s="128">
        <f>IF(DIAS365('CALCULADORA TIPS Pesos N-20'!$E$6,A21)&lt;0,0,DIAS365('CALCULADORA TIPS Pesos N-20'!$E$6,A21))</f>
        <v>0</v>
      </c>
      <c r="C21" s="129">
        <f>+HLOOKUP('CALCULADORA TIPS Pesos N-20'!$E$4,Tablas!$B$1:$C$181,Flujos!J21+1,FALSE)</f>
        <v>0.0158525</v>
      </c>
      <c r="D21" s="130">
        <f t="shared" si="2"/>
        <v>98.41475</v>
      </c>
      <c r="E21" s="131">
        <f t="shared" si="3"/>
        <v>1.58525</v>
      </c>
      <c r="F21" s="131">
        <f>ROUND(D20*ROUND(((1+'CALCULADORA TIPS Pesos N-20'!$C$14)^(1/12)-1),6),6)</f>
        <v>0.4899</v>
      </c>
      <c r="G21" s="131">
        <f t="shared" si="4"/>
        <v>2.07515</v>
      </c>
      <c r="H21" s="132">
        <f>IF($B21=0,0,G21/POWER(1+'CALCULADORA TIPS Pesos N-20'!$F$11,Flujos!$B21/365))</f>
        <v>0</v>
      </c>
      <c r="I21" s="133">
        <f t="shared" si="1"/>
        <v>44320</v>
      </c>
      <c r="J21" s="134">
        <v>19</v>
      </c>
      <c r="K21" s="135">
        <f t="shared" si="5"/>
        <v>577</v>
      </c>
      <c r="L21" s="136">
        <f t="shared" si="6"/>
        <v>279509120.2853418</v>
      </c>
      <c r="M21" s="137">
        <f t="shared" si="7"/>
        <v>4502290.89574823</v>
      </c>
      <c r="N21" s="137">
        <f t="shared" si="8"/>
        <v>1391371.9033761602</v>
      </c>
      <c r="O21" s="138">
        <f t="shared" si="9"/>
        <v>5893662.79912439</v>
      </c>
    </row>
    <row r="22" spans="1:15" s="139" customFormat="1" ht="12.75">
      <c r="A22" s="127">
        <f t="shared" si="0"/>
        <v>44351</v>
      </c>
      <c r="B22" s="128">
        <f>IF(DIAS365('CALCULADORA TIPS Pesos N-20'!$E$6,A22)&lt;0,0,DIAS365('CALCULADORA TIPS Pesos N-20'!$E$6,A22))</f>
        <v>0</v>
      </c>
      <c r="C22" s="129">
        <f>+HLOOKUP('CALCULADORA TIPS Pesos N-20'!$E$4,Tablas!$B$1:$C$181,Flujos!J22+1,FALSE)</f>
        <v>0.02892144</v>
      </c>
      <c r="D22" s="130">
        <f t="shared" si="2"/>
        <v>95.522606</v>
      </c>
      <c r="E22" s="131">
        <f t="shared" si="3"/>
        <v>2.892144</v>
      </c>
      <c r="F22" s="131">
        <f>ROUND(D21*ROUND(((1+'CALCULADORA TIPS Pesos N-20'!$C$14)^(1/12)-1),6),6)</f>
        <v>0.482134</v>
      </c>
      <c r="G22" s="131">
        <f t="shared" si="4"/>
        <v>3.374278</v>
      </c>
      <c r="H22" s="132">
        <f>IF($B22=0,0,G22/POWER(1+'CALCULADORA TIPS Pesos N-20'!$F$11,Flujos!$B22/365))</f>
        <v>0</v>
      </c>
      <c r="I22" s="133">
        <f t="shared" si="1"/>
        <v>44351</v>
      </c>
      <c r="J22" s="134">
        <v>20</v>
      </c>
      <c r="K22" s="135">
        <f t="shared" si="5"/>
        <v>608</v>
      </c>
      <c r="L22" s="136">
        <f t="shared" si="6"/>
        <v>271295101.2975526</v>
      </c>
      <c r="M22" s="137">
        <f t="shared" si="7"/>
        <v>8214018.987789225</v>
      </c>
      <c r="N22" s="137">
        <f t="shared" si="8"/>
        <v>1369315.1802778894</v>
      </c>
      <c r="O22" s="138">
        <f t="shared" si="9"/>
        <v>9583334.168067114</v>
      </c>
    </row>
    <row r="23" spans="1:15" s="153" customFormat="1" ht="12.75">
      <c r="A23" s="141">
        <f t="shared" si="0"/>
        <v>44381</v>
      </c>
      <c r="B23" s="142">
        <f>IF(DIAS365('CALCULADORA TIPS Pesos N-20'!$E$6,A23)&lt;0,0,DIAS365('CALCULADORA TIPS Pesos N-20'!$E$6,A23))</f>
        <v>0</v>
      </c>
      <c r="C23" s="143">
        <f>+HLOOKUP('CALCULADORA TIPS Pesos N-20'!$E$4,Tablas!$B$1:$C$181,Flujos!J23+1,FALSE)</f>
        <v>0.02259371</v>
      </c>
      <c r="D23" s="144">
        <f t="shared" si="2"/>
        <v>93.263235</v>
      </c>
      <c r="E23" s="145">
        <f t="shared" si="3"/>
        <v>2.259371</v>
      </c>
      <c r="F23" s="145">
        <f>ROUND(D22*ROUND(((1+'CALCULADORA TIPS Pesos N-20'!$C$14)^(1/12)-1),6),6)</f>
        <v>0.467965</v>
      </c>
      <c r="G23" s="145">
        <f t="shared" si="4"/>
        <v>2.7273359999999998</v>
      </c>
      <c r="H23" s="146">
        <f>IF($B23=0,0,G23/POWER(1+'CALCULADORA TIPS Pesos N-20'!$F$11,Flujos!$B23/365))</f>
        <v>0</v>
      </c>
      <c r="I23" s="147">
        <f t="shared" si="1"/>
        <v>44381</v>
      </c>
      <c r="J23" s="148">
        <v>21</v>
      </c>
      <c r="K23" s="149">
        <f t="shared" si="5"/>
        <v>638</v>
      </c>
      <c r="L23" s="150">
        <f t="shared" si="6"/>
        <v>264878229.83663628</v>
      </c>
      <c r="M23" s="151">
        <f t="shared" si="7"/>
        <v>6416871.460916306</v>
      </c>
      <c r="N23" s="151">
        <f t="shared" si="8"/>
        <v>1329074.70125671</v>
      </c>
      <c r="O23" s="152">
        <f t="shared" si="9"/>
        <v>7745946.162173016</v>
      </c>
    </row>
    <row r="24" spans="1:15" s="139" customFormat="1" ht="12.75">
      <c r="A24" s="127">
        <f t="shared" si="0"/>
        <v>44412</v>
      </c>
      <c r="B24" s="128">
        <f>IF(DIAS365('CALCULADORA TIPS Pesos N-20'!$E$6,A24)&lt;0,0,DIAS365('CALCULADORA TIPS Pesos N-20'!$E$6,A24))</f>
        <v>0</v>
      </c>
      <c r="C24" s="279">
        <f>+HLOOKUP('CALCULADORA TIPS Pesos N-20'!$E$4,Tablas!$B$1:$C$181,Flujos!J24+1,FALSE)</f>
        <v>0.02618229</v>
      </c>
      <c r="D24" s="280">
        <f t="shared" si="2"/>
        <v>90.645006</v>
      </c>
      <c r="E24" s="281">
        <f t="shared" si="3"/>
        <v>2.618229</v>
      </c>
      <c r="F24" s="281">
        <f>ROUND(D23*ROUND(((1+'CALCULADORA TIPS Pesos N-20'!$C$14)^(1/12)-1),6),6)</f>
        <v>0.456897</v>
      </c>
      <c r="G24" s="281">
        <f t="shared" si="4"/>
        <v>3.075126</v>
      </c>
      <c r="H24" s="132">
        <f>IF($B24=0,0,G24/POWER(1+'CALCULADORA TIPS Pesos N-20'!$F$11,Flujos!$B24/365))</f>
        <v>0</v>
      </c>
      <c r="I24" s="133">
        <f t="shared" si="1"/>
        <v>44412</v>
      </c>
      <c r="J24" s="134">
        <v>22</v>
      </c>
      <c r="K24" s="135">
        <f t="shared" si="5"/>
        <v>669</v>
      </c>
      <c r="L24" s="136">
        <f t="shared" si="6"/>
        <v>257442160.70578372</v>
      </c>
      <c r="M24" s="137">
        <f t="shared" si="7"/>
        <v>7436069.130852543</v>
      </c>
      <c r="N24" s="137">
        <f t="shared" si="8"/>
        <v>1297638.4479696811</v>
      </c>
      <c r="O24" s="138">
        <f t="shared" si="9"/>
        <v>8733707.578822223</v>
      </c>
    </row>
    <row r="25" spans="1:15" s="139" customFormat="1" ht="12.75">
      <c r="A25" s="127">
        <f t="shared" si="0"/>
        <v>44443</v>
      </c>
      <c r="B25" s="128">
        <f>IF(DIAS365('CALCULADORA TIPS Pesos N-20'!$E$6,A25)&lt;0,0,DIAS365('CALCULADORA TIPS Pesos N-20'!$E$6,A25))</f>
        <v>0</v>
      </c>
      <c r="C25" s="282">
        <f>+HLOOKUP('CALCULADORA TIPS Pesos N-20'!$E$4,Tablas!$B$1:$C$181,Flujos!J25+1,FALSE)</f>
        <v>0.02214692</v>
      </c>
      <c r="D25" s="283">
        <f t="shared" si="2"/>
        <v>88.430314</v>
      </c>
      <c r="E25" s="284">
        <f t="shared" si="3"/>
        <v>2.214692</v>
      </c>
      <c r="F25" s="284">
        <f>ROUND(D24*ROUND(((1+'CALCULADORA TIPS Pesos N-20'!$C$14)^(1/12)-1),6),6)</f>
        <v>0.44407</v>
      </c>
      <c r="G25" s="284">
        <f t="shared" si="4"/>
        <v>2.658762</v>
      </c>
      <c r="H25" s="132">
        <f>IF($B25=0,0,G25/POWER(1+'CALCULADORA TIPS Pesos N-20'!$F$11,Flujos!$B25/365))</f>
        <v>0</v>
      </c>
      <c r="I25" s="133">
        <f t="shared" si="1"/>
        <v>44443</v>
      </c>
      <c r="J25" s="134">
        <v>23</v>
      </c>
      <c r="K25" s="135">
        <f t="shared" si="5"/>
        <v>700</v>
      </c>
      <c r="L25" s="136">
        <f t="shared" si="6"/>
        <v>251152182.703269</v>
      </c>
      <c r="M25" s="137">
        <f t="shared" si="7"/>
        <v>6289978.002514707</v>
      </c>
      <c r="N25" s="137">
        <f t="shared" si="8"/>
        <v>1261209.1452976344</v>
      </c>
      <c r="O25" s="138">
        <f t="shared" si="9"/>
        <v>7551187.147812341</v>
      </c>
    </row>
    <row r="26" spans="1:15" s="139" customFormat="1" ht="12.75">
      <c r="A26" s="127">
        <f t="shared" si="0"/>
        <v>44473</v>
      </c>
      <c r="B26" s="128">
        <f>IF(DIAS365('CALCULADORA TIPS Pesos N-20'!$E$6,A26)&lt;0,0,DIAS365('CALCULADORA TIPS Pesos N-20'!$E$6,A26))</f>
        <v>0</v>
      </c>
      <c r="C26" s="155">
        <f>+HLOOKUP('CALCULADORA TIPS Pesos N-20'!$E$4,Tablas!$B$1:$C$181,Flujos!J26+1,FALSE)</f>
        <v>0.01938706</v>
      </c>
      <c r="D26" s="156">
        <f t="shared" si="2"/>
        <v>86.491608</v>
      </c>
      <c r="E26" s="157">
        <f t="shared" si="3"/>
        <v>1.938706</v>
      </c>
      <c r="F26" s="157">
        <f>ROUND(D25*ROUND(((1+'CALCULADORA TIPS Pesos N-20'!$C$14)^(1/12)-1),6),6)</f>
        <v>0.43322</v>
      </c>
      <c r="G26" s="157">
        <f t="shared" si="4"/>
        <v>2.371926</v>
      </c>
      <c r="H26" s="132">
        <f>IF($B26=0,0,G26/POWER(1+'CALCULADORA TIPS Pesos N-20'!$F$11,Flujos!$B26/365))</f>
        <v>0</v>
      </c>
      <c r="I26" s="133">
        <f t="shared" si="1"/>
        <v>44473</v>
      </c>
      <c r="J26" s="134">
        <v>24</v>
      </c>
      <c r="K26" s="135">
        <f t="shared" si="5"/>
        <v>730</v>
      </c>
      <c r="L26" s="136">
        <f t="shared" si="6"/>
        <v>245646036.43401653</v>
      </c>
      <c r="M26" s="137">
        <f t="shared" si="7"/>
        <v>5506146.269252464</v>
      </c>
      <c r="N26" s="137">
        <f t="shared" si="8"/>
        <v>1230394.5430633149</v>
      </c>
      <c r="O26" s="138">
        <f t="shared" si="9"/>
        <v>6736540.812315779</v>
      </c>
    </row>
    <row r="27" spans="1:15" s="139" customFormat="1" ht="12.75">
      <c r="A27" s="127">
        <f t="shared" si="0"/>
        <v>44504</v>
      </c>
      <c r="B27" s="128">
        <f>IF(DIAS365('CALCULADORA TIPS Pesos N-20'!$E$6,A27)&lt;0,0,DIAS365('CALCULADORA TIPS Pesos N-20'!$E$6,A27))</f>
        <v>0</v>
      </c>
      <c r="C27" s="155">
        <f>+HLOOKUP('CALCULADORA TIPS Pesos N-20'!$E$4,Tablas!$B$1:$C$181,Flujos!J27+1,FALSE)</f>
        <v>0.01884397</v>
      </c>
      <c r="D27" s="156">
        <f t="shared" si="2"/>
        <v>84.607211</v>
      </c>
      <c r="E27" s="157">
        <f t="shared" si="3"/>
        <v>1.884397</v>
      </c>
      <c r="F27" s="157">
        <f>ROUND(D26*ROUND(((1+'CALCULADORA TIPS Pesos N-20'!$C$14)^(1/12)-1),6),6)</f>
        <v>0.423722</v>
      </c>
      <c r="G27" s="157">
        <f t="shared" si="4"/>
        <v>2.308119</v>
      </c>
      <c r="H27" s="132">
        <f>IF($B27=0,0,G27/POWER(1+'CALCULADORA TIPS Pesos N-20'!$F$11,Flujos!$B27/365))</f>
        <v>0</v>
      </c>
      <c r="I27" s="133">
        <f t="shared" si="1"/>
        <v>44504</v>
      </c>
      <c r="J27" s="134">
        <v>25</v>
      </c>
      <c r="K27" s="135">
        <f t="shared" si="5"/>
        <v>761</v>
      </c>
      <c r="L27" s="136">
        <f t="shared" si="6"/>
        <v>240294133.9220624</v>
      </c>
      <c r="M27" s="137">
        <f t="shared" si="7"/>
        <v>5351902.511954126</v>
      </c>
      <c r="N27" s="137">
        <f t="shared" si="8"/>
        <v>1203419.9324902468</v>
      </c>
      <c r="O27" s="138">
        <f t="shared" si="9"/>
        <v>6555322.444444373</v>
      </c>
    </row>
    <row r="28" spans="1:15" s="139" customFormat="1" ht="12.75">
      <c r="A28" s="127">
        <f t="shared" si="0"/>
        <v>44534</v>
      </c>
      <c r="B28" s="128">
        <f>IF(DIAS365('CALCULADORA TIPS Pesos N-20'!$E$6,A28)&lt;0,0,DIAS365('CALCULADORA TIPS Pesos N-20'!$E$6,A28))</f>
        <v>0</v>
      </c>
      <c r="C28" s="288">
        <f>+HLOOKUP('CALCULADORA TIPS Pesos N-20'!$E$4,Tablas!$B$1:$C$181,Flujos!J28+1,FALSE)</f>
        <v>0.02129778</v>
      </c>
      <c r="D28" s="289">
        <f t="shared" si="2"/>
        <v>82.477433</v>
      </c>
      <c r="E28" s="290">
        <f t="shared" si="3"/>
        <v>2.129778</v>
      </c>
      <c r="F28" s="290">
        <f>ROUND(D27*ROUND(((1+'CALCULADORA TIPS Pesos N-20'!$C$14)^(1/12)-1),6),6)</f>
        <v>0.414491</v>
      </c>
      <c r="G28" s="290">
        <f t="shared" si="4"/>
        <v>2.544269</v>
      </c>
      <c r="H28" s="132">
        <f>IF($B28=0,0,G28/POWER(1+'CALCULADORA TIPS Pesos N-20'!$F$11,Flujos!$B28/365))</f>
        <v>0</v>
      </c>
      <c r="I28" s="133">
        <f t="shared" si="1"/>
        <v>44534</v>
      </c>
      <c r="J28" s="134">
        <v>26</v>
      </c>
      <c r="K28" s="135">
        <f t="shared" si="5"/>
        <v>791</v>
      </c>
      <c r="L28" s="136">
        <f t="shared" si="6"/>
        <v>234245321.369238</v>
      </c>
      <c r="M28" s="137">
        <f t="shared" si="7"/>
        <v>6048812.552824396</v>
      </c>
      <c r="N28" s="137">
        <f t="shared" si="8"/>
        <v>1177200.9620841837</v>
      </c>
      <c r="O28" s="138">
        <f t="shared" si="9"/>
        <v>7226013.514908579</v>
      </c>
    </row>
    <row r="29" spans="1:15" s="139" customFormat="1" ht="12.75">
      <c r="A29" s="127">
        <f t="shared" si="0"/>
        <v>44565</v>
      </c>
      <c r="B29" s="128">
        <f>IF(DIAS365('CALCULADORA TIPS Pesos N-20'!$E$6,A29)&lt;0,0,DIAS365('CALCULADORA TIPS Pesos N-20'!$E$6,A29))</f>
        <v>0</v>
      </c>
      <c r="C29" s="237">
        <f>+HLOOKUP('CALCULADORA TIPS Pesos N-20'!$E$4,Tablas!$B$1:$C$181,Flujos!J29+1,FALSE)</f>
        <v>0.01328574</v>
      </c>
      <c r="D29" s="238">
        <f t="shared" si="2"/>
        <v>81.148859</v>
      </c>
      <c r="E29" s="239">
        <f t="shared" si="3"/>
        <v>1.328574</v>
      </c>
      <c r="F29" s="239">
        <f>ROUND(D28*ROUND(((1+'CALCULADORA TIPS Pesos N-20'!$C$14)^(1/12)-1),6),6)</f>
        <v>0.404057</v>
      </c>
      <c r="G29" s="239">
        <f t="shared" si="4"/>
        <v>1.732631</v>
      </c>
      <c r="H29" s="132">
        <f>IF($B29=0,0,G29/POWER(1+'CALCULADORA TIPS Pesos N-20'!$F$11,Flujos!$B29/365))</f>
        <v>0</v>
      </c>
      <c r="I29" s="133">
        <f t="shared" si="1"/>
        <v>44565</v>
      </c>
      <c r="J29" s="134">
        <v>27</v>
      </c>
      <c r="K29" s="135">
        <f t="shared" si="5"/>
        <v>822</v>
      </c>
      <c r="L29" s="136">
        <f t="shared" si="6"/>
        <v>230472019.60325295</v>
      </c>
      <c r="M29" s="137">
        <f t="shared" si="7"/>
        <v>3773301.765985056</v>
      </c>
      <c r="N29" s="137">
        <f t="shared" si="8"/>
        <v>1147567.829387897</v>
      </c>
      <c r="O29" s="138">
        <f t="shared" si="9"/>
        <v>4920869.5953729525</v>
      </c>
    </row>
    <row r="30" spans="1:15" s="139" customFormat="1" ht="12.75">
      <c r="A30" s="127">
        <f t="shared" si="0"/>
        <v>44596</v>
      </c>
      <c r="B30" s="128">
        <f>IF(DIAS365('CALCULADORA TIPS Pesos N-20'!$E$6,A30)&lt;0,0,DIAS365('CALCULADORA TIPS Pesos N-20'!$E$6,A30))</f>
        <v>0</v>
      </c>
      <c r="C30" s="295">
        <f>+HLOOKUP('CALCULADORA TIPS Pesos N-20'!$E$4,Tablas!$B$1:$C$181,Flujos!J30+1,FALSE)</f>
        <v>0.01759811</v>
      </c>
      <c r="D30" s="296">
        <f t="shared" si="2"/>
        <v>79.389048</v>
      </c>
      <c r="E30" s="297">
        <f t="shared" si="3"/>
        <v>1.759811</v>
      </c>
      <c r="F30" s="297">
        <f>ROUND(D29*ROUND(((1+'CALCULADORA TIPS Pesos N-20'!$C$14)^(1/12)-1),6),6)</f>
        <v>0.397548</v>
      </c>
      <c r="G30" s="297">
        <f t="shared" si="4"/>
        <v>2.157359</v>
      </c>
      <c r="H30" s="132">
        <f>IF($B30=0,0,G30/POWER(1+'CALCULADORA TIPS Pesos N-20'!$F$11,Flujos!$B30/365))</f>
        <v>0</v>
      </c>
      <c r="I30" s="133">
        <f t="shared" si="1"/>
        <v>44596</v>
      </c>
      <c r="J30" s="134">
        <v>28</v>
      </c>
      <c r="K30" s="135">
        <f t="shared" si="5"/>
        <v>853</v>
      </c>
      <c r="L30" s="136">
        <f t="shared" si="6"/>
        <v>225473955.54803288</v>
      </c>
      <c r="M30" s="137">
        <f t="shared" si="7"/>
        <v>4998064.055220053</v>
      </c>
      <c r="N30" s="137">
        <f t="shared" si="8"/>
        <v>1129082.4240363361</v>
      </c>
      <c r="O30" s="138">
        <f t="shared" si="9"/>
        <v>6127146.479256389</v>
      </c>
    </row>
    <row r="31" spans="1:15" s="139" customFormat="1" ht="12.75">
      <c r="A31" s="127">
        <f t="shared" si="0"/>
        <v>44624</v>
      </c>
      <c r="B31" s="128">
        <f>IF(DIAS365('CALCULADORA TIPS Pesos N-20'!$E$6,A31)&lt;0,0,DIAS365('CALCULADORA TIPS Pesos N-20'!$E$6,A31))</f>
        <v>0</v>
      </c>
      <c r="C31" s="298">
        <f>+HLOOKUP('CALCULADORA TIPS Pesos N-20'!$E$4,Tablas!$B$1:$C$181,Flujos!J31+1,FALSE)</f>
        <v>0.01624602</v>
      </c>
      <c r="D31" s="299">
        <f t="shared" si="2"/>
        <v>77.764446</v>
      </c>
      <c r="E31" s="300">
        <f t="shared" si="3"/>
        <v>1.624602</v>
      </c>
      <c r="F31" s="300">
        <f>ROUND(D30*ROUND(((1+'CALCULADORA TIPS Pesos N-20'!$C$14)^(1/12)-1),6),6)</f>
        <v>0.388927</v>
      </c>
      <c r="G31" s="300">
        <f t="shared" si="4"/>
        <v>2.013529</v>
      </c>
      <c r="H31" s="132">
        <f>IF($B31=0,0,G31/POWER(1+'CALCULADORA TIPS Pesos N-20'!$F$11,Flujos!$B31/365))</f>
        <v>0</v>
      </c>
      <c r="I31" s="133">
        <f t="shared" si="1"/>
        <v>44624</v>
      </c>
      <c r="J31" s="134">
        <v>29</v>
      </c>
      <c r="K31" s="135">
        <f t="shared" si="5"/>
        <v>881</v>
      </c>
      <c r="L31" s="136">
        <f t="shared" si="6"/>
        <v>220859900.48175666</v>
      </c>
      <c r="M31" s="137">
        <f t="shared" si="7"/>
        <v>4614055.066276212</v>
      </c>
      <c r="N31" s="137">
        <f t="shared" si="8"/>
        <v>1104596.908229813</v>
      </c>
      <c r="O31" s="138">
        <f t="shared" si="9"/>
        <v>5718651.974506025</v>
      </c>
    </row>
    <row r="32" spans="1:15" s="139" customFormat="1" ht="12.75">
      <c r="A32" s="127">
        <f t="shared" si="0"/>
        <v>44655</v>
      </c>
      <c r="B32" s="128">
        <f>IF(DIAS365('CALCULADORA TIPS Pesos N-20'!$E$6,A32)&lt;0,0,DIAS365('CALCULADORA TIPS Pesos N-20'!$E$6,A32))</f>
        <v>0</v>
      </c>
      <c r="C32" s="301">
        <f>+HLOOKUP('CALCULADORA TIPS Pesos N-20'!$E$4,Tablas!$B$1:$C$181,Flujos!J32+1,FALSE)</f>
        <v>0.01670805</v>
      </c>
      <c r="D32" s="302">
        <f t="shared" si="2"/>
        <v>76.093641</v>
      </c>
      <c r="E32" s="303">
        <f t="shared" si="3"/>
        <v>1.670805</v>
      </c>
      <c r="F32" s="303">
        <f>ROUND(D31*ROUND(((1+'CALCULADORA TIPS Pesos N-20'!$C$14)^(1/12)-1),6),6)</f>
        <v>0.380968</v>
      </c>
      <c r="G32" s="303">
        <f t="shared" si="4"/>
        <v>2.051773</v>
      </c>
      <c r="H32" s="132">
        <f>IF($B32=0,0,G32/POWER(1+'CALCULADORA TIPS Pesos N-20'!$F$11,Flujos!$B32/365))</f>
        <v>0</v>
      </c>
      <c r="I32" s="133">
        <f t="shared" si="1"/>
        <v>44655</v>
      </c>
      <c r="J32" s="134">
        <v>30</v>
      </c>
      <c r="K32" s="135">
        <f t="shared" si="5"/>
        <v>912</v>
      </c>
      <c r="L32" s="136">
        <f t="shared" si="6"/>
        <v>216114623.62317243</v>
      </c>
      <c r="M32" s="137">
        <f t="shared" si="7"/>
        <v>4745276.858584211</v>
      </c>
      <c r="N32" s="137">
        <f t="shared" si="8"/>
        <v>1081992.6524601257</v>
      </c>
      <c r="O32" s="138">
        <f t="shared" si="9"/>
        <v>5827269.5110443365</v>
      </c>
    </row>
    <row r="33" spans="1:15" s="139" customFormat="1" ht="12" customHeight="1">
      <c r="A33" s="127">
        <f t="shared" si="0"/>
        <v>44685</v>
      </c>
      <c r="B33" s="128">
        <f>IF(DIAS365('CALCULADORA TIPS Pesos N-20'!$E$6,A33)&lt;0,0,DIAS365('CALCULADORA TIPS Pesos N-20'!$E$6,A33))</f>
        <v>0</v>
      </c>
      <c r="C33" s="304">
        <f>+HLOOKUP('CALCULADORA TIPS Pesos N-20'!$E$4,Tablas!$B$1:$C$181,Flujos!J33+1,FALSE)</f>
        <v>0.01450048</v>
      </c>
      <c r="D33" s="305">
        <f t="shared" si="2"/>
        <v>74.643593</v>
      </c>
      <c r="E33" s="306">
        <f t="shared" si="3"/>
        <v>1.450048</v>
      </c>
      <c r="F33" s="306">
        <f>ROUND(D32*ROUND(((1+'CALCULADORA TIPS Pesos N-20'!$C$14)^(1/12)-1),6),6)</f>
        <v>0.372783</v>
      </c>
      <c r="G33" s="306">
        <f t="shared" si="4"/>
        <v>1.8228309999999999</v>
      </c>
      <c r="H33" s="132">
        <f>IF($B33=0,0,G33/POWER(1+'CALCULADORA TIPS Pesos N-20'!$F$11,Flujos!$B33/365))</f>
        <v>0</v>
      </c>
      <c r="I33" s="133">
        <f t="shared" si="1"/>
        <v>44685</v>
      </c>
      <c r="J33" s="134">
        <v>31</v>
      </c>
      <c r="K33" s="135">
        <f t="shared" si="5"/>
        <v>942</v>
      </c>
      <c r="L33" s="136">
        <f t="shared" si="6"/>
        <v>211996321.83556926</v>
      </c>
      <c r="M33" s="137">
        <f t="shared" si="7"/>
        <v>4118301.7876031725</v>
      </c>
      <c r="N33" s="137">
        <f t="shared" si="8"/>
        <v>1058745.5411299218</v>
      </c>
      <c r="O33" s="138">
        <f t="shared" si="9"/>
        <v>5177047.328733094</v>
      </c>
    </row>
    <row r="34" spans="1:15" s="139" customFormat="1" ht="12.75">
      <c r="A34" s="127">
        <f t="shared" si="0"/>
        <v>44716</v>
      </c>
      <c r="B34" s="128">
        <f>IF(DIAS365('CALCULADORA TIPS Pesos N-20'!$E$6,A34)&lt;0,0,DIAS365('CALCULADORA TIPS Pesos N-20'!$E$6,A34))</f>
        <v>0</v>
      </c>
      <c r="C34" s="307">
        <f>+HLOOKUP('CALCULADORA TIPS Pesos N-20'!$E$4,Tablas!$B$1:$C$181,Flujos!J34+1,FALSE)</f>
        <v>0.0159464</v>
      </c>
      <c r="D34" s="308">
        <f t="shared" si="2"/>
        <v>73.048953</v>
      </c>
      <c r="E34" s="309">
        <f t="shared" si="3"/>
        <v>1.59464</v>
      </c>
      <c r="F34" s="309">
        <f>ROUND(D33*ROUND(((1+'CALCULADORA TIPS Pesos N-20'!$C$14)^(1/12)-1),6),6)</f>
        <v>0.365679</v>
      </c>
      <c r="G34" s="309">
        <f t="shared" si="4"/>
        <v>1.9603190000000001</v>
      </c>
      <c r="H34" s="132">
        <f>IF($B34=0,0,G34/POWER(1+'CALCULADORA TIPS Pesos N-20'!$F$11,Flujos!$B34/365))</f>
        <v>0</v>
      </c>
      <c r="I34" s="133">
        <f t="shared" si="1"/>
        <v>44716</v>
      </c>
      <c r="J34" s="134">
        <v>32</v>
      </c>
      <c r="K34" s="135">
        <f t="shared" si="5"/>
        <v>973</v>
      </c>
      <c r="L34" s="136">
        <f t="shared" si="6"/>
        <v>207467362.26831114</v>
      </c>
      <c r="M34" s="137">
        <f t="shared" si="7"/>
        <v>4528959.5672581345</v>
      </c>
      <c r="N34" s="137">
        <f t="shared" si="8"/>
        <v>1038569.9806724538</v>
      </c>
      <c r="O34" s="138">
        <f t="shared" si="9"/>
        <v>5567529.547930588</v>
      </c>
    </row>
    <row r="35" spans="1:15" s="139" customFormat="1" ht="12.75">
      <c r="A35" s="127">
        <f aca="true" t="shared" si="10" ref="A35:A66">_XLL.FECHA.MES(A34,1)</f>
        <v>44746</v>
      </c>
      <c r="B35" s="128">
        <f>IF(DIAS365('CALCULADORA TIPS Pesos N-20'!$E$6,A35)&lt;0,0,DIAS365('CALCULADORA TIPS Pesos N-20'!$E$6,A35))</f>
        <v>0</v>
      </c>
      <c r="C35" s="338">
        <f>+HLOOKUP('CALCULADORA TIPS Pesos N-20'!$E$4,Tablas!$B$1:$C$181,Flujos!J35+1,FALSE)</f>
        <v>0.01568914</v>
      </c>
      <c r="D35" s="339">
        <f t="shared" si="2"/>
        <v>71.480039</v>
      </c>
      <c r="E35" s="340">
        <f t="shared" si="3"/>
        <v>1.568914</v>
      </c>
      <c r="F35" s="340">
        <f>ROUND(D34*ROUND(((1+'CALCULADORA TIPS Pesos N-20'!$C$14)^(1/12)-1),6),6)</f>
        <v>0.357867</v>
      </c>
      <c r="G35" s="340">
        <f t="shared" si="4"/>
        <v>1.9267809999999999</v>
      </c>
      <c r="H35" s="132">
        <f>IF($B35=0,0,G35/POWER(1+'CALCULADORA TIPS Pesos N-20'!$F$11,Flujos!$B35/365))</f>
        <v>0</v>
      </c>
      <c r="I35" s="133">
        <f t="shared" si="1"/>
        <v>44746</v>
      </c>
      <c r="J35" s="134">
        <v>33</v>
      </c>
      <c r="K35" s="135">
        <f t="shared" si="5"/>
        <v>1003</v>
      </c>
      <c r="L35" s="136">
        <f t="shared" si="6"/>
        <v>203011467.47669345</v>
      </c>
      <c r="M35" s="137">
        <f t="shared" si="7"/>
        <v>4455894.791617688</v>
      </c>
      <c r="N35" s="137">
        <f t="shared" si="8"/>
        <v>1016382.6077524562</v>
      </c>
      <c r="O35" s="138">
        <f t="shared" si="9"/>
        <v>5472277.399370144</v>
      </c>
    </row>
    <row r="36" spans="1:15" s="251" customFormat="1" ht="12.75">
      <c r="A36" s="258">
        <f t="shared" si="10"/>
        <v>44777</v>
      </c>
      <c r="B36" s="259">
        <f>IF(DIAS365('CALCULADORA TIPS Pesos N-20'!$E$6,A36)&lt;0,0,DIAS365('CALCULADORA TIPS Pesos N-20'!$E$6,A36))</f>
        <v>0</v>
      </c>
      <c r="C36" s="335">
        <f>+HLOOKUP('CALCULADORA TIPS Pesos N-20'!$E$4,Tablas!$B$1:$C$181,Flujos!J36+1,FALSE)</f>
        <v>0.01075758</v>
      </c>
      <c r="D36" s="336">
        <f t="shared" si="2"/>
        <v>70.404281</v>
      </c>
      <c r="E36" s="337">
        <f t="shared" si="3"/>
        <v>1.075758</v>
      </c>
      <c r="F36" s="337">
        <f>ROUND(D35*ROUND(((1+'CALCULADORA TIPS Pesos N-20'!$C$14)^(1/12)-1),6),6)</f>
        <v>0.350181</v>
      </c>
      <c r="G36" s="337">
        <f t="shared" si="4"/>
        <v>1.425939</v>
      </c>
      <c r="H36" s="260">
        <f>IF($B36=0,0,G36/POWER(1+'CALCULADORA TIPS Pesos N-20'!$F$11,Flujos!$B36/365))</f>
        <v>0</v>
      </c>
      <c r="I36" s="261">
        <f t="shared" si="1"/>
        <v>44777</v>
      </c>
      <c r="J36" s="262">
        <v>34</v>
      </c>
      <c r="K36" s="263">
        <f t="shared" si="5"/>
        <v>1034</v>
      </c>
      <c r="L36" s="264">
        <f t="shared" si="6"/>
        <v>199956191.99999997</v>
      </c>
      <c r="M36" s="265">
        <f t="shared" si="7"/>
        <v>3055275.4766934705</v>
      </c>
      <c r="N36" s="265">
        <f t="shared" si="8"/>
        <v>994553.1791683212</v>
      </c>
      <c r="O36" s="266">
        <f t="shared" si="9"/>
        <v>4049828.6558617917</v>
      </c>
    </row>
    <row r="37" spans="1:15" s="139" customFormat="1" ht="12.75">
      <c r="A37" s="127">
        <f t="shared" si="10"/>
        <v>44808</v>
      </c>
      <c r="B37" s="128">
        <f>IF(DIAS365('CALCULADORA TIPS Pesos N-20'!$E$6,A37)&lt;0,0,DIAS365('CALCULADORA TIPS Pesos N-20'!$E$6,A37))</f>
        <v>31</v>
      </c>
      <c r="C37" s="159">
        <f>+HLOOKUP('CALCULADORA TIPS Pesos N-20'!$E$4,Tablas!$B$1:$C$181,Flujos!J37+1,FALSE)</f>
        <v>0.01569075</v>
      </c>
      <c r="D37" s="160">
        <f t="shared" si="2"/>
        <v>68.835206</v>
      </c>
      <c r="E37" s="161">
        <f t="shared" si="3"/>
        <v>1.569075</v>
      </c>
      <c r="F37" s="161">
        <f>ROUND(D36*ROUND(((1+'CALCULADORA TIPS Pesos N-20'!$C$14)^(1/12)-1),6),6)</f>
        <v>0.344911</v>
      </c>
      <c r="G37" s="161">
        <f t="shared" si="4"/>
        <v>1.913986</v>
      </c>
      <c r="H37" s="132">
        <f>IF($B37=0,0,G37/POWER(1+'CALCULADORA TIPS Pesos N-20'!$F$11,Flujos!$B37/365))</f>
        <v>1.9044763115837124</v>
      </c>
      <c r="I37" s="133">
        <f t="shared" si="1"/>
        <v>44808</v>
      </c>
      <c r="J37" s="134">
        <v>35</v>
      </c>
      <c r="K37" s="135">
        <f t="shared" si="5"/>
        <v>1065</v>
      </c>
      <c r="L37" s="136">
        <f t="shared" si="6"/>
        <v>195499839.95001027</v>
      </c>
      <c r="M37" s="137">
        <f t="shared" si="7"/>
        <v>4456352.049989689</v>
      </c>
      <c r="N37" s="137">
        <f t="shared" si="8"/>
        <v>979585.3846079998</v>
      </c>
      <c r="O37" s="138">
        <f t="shared" si="9"/>
        <v>5435937.434597689</v>
      </c>
    </row>
    <row r="38" spans="1:15" s="139" customFormat="1" ht="12.75">
      <c r="A38" s="127">
        <f t="shared" si="10"/>
        <v>44838</v>
      </c>
      <c r="B38" s="128">
        <f>IF(DIAS365('CALCULADORA TIPS Pesos N-20'!$E$6,A38)&lt;0,0,DIAS365('CALCULADORA TIPS Pesos N-20'!$E$6,A38))</f>
        <v>61</v>
      </c>
      <c r="C38" s="162">
        <f>+HLOOKUP('CALCULADORA TIPS Pesos N-20'!$E$4,Tablas!$B$1:$C$181,Flujos!J38+1,FALSE)</f>
        <v>0.01538835</v>
      </c>
      <c r="D38" s="163">
        <f t="shared" si="2"/>
        <v>67.296371</v>
      </c>
      <c r="E38" s="164">
        <f t="shared" si="3"/>
        <v>1.538835</v>
      </c>
      <c r="F38" s="164">
        <f>ROUND(D37*ROUND(((1+'CALCULADORA TIPS Pesos N-20'!$C$14)^(1/12)-1),6),6)</f>
        <v>0.337224</v>
      </c>
      <c r="G38" s="164">
        <f t="shared" si="4"/>
        <v>1.876059</v>
      </c>
      <c r="H38" s="132">
        <f>IF($B38=0,0,G38/POWER(1+'CALCULADORA TIPS Pesos N-20'!$F$11,Flujos!$B38/365))</f>
        <v>1.8577612894646014</v>
      </c>
      <c r="I38" s="133">
        <f t="shared" si="1"/>
        <v>44838</v>
      </c>
      <c r="J38" s="134">
        <v>36</v>
      </c>
      <c r="K38" s="135">
        <f t="shared" si="5"/>
        <v>1095</v>
      </c>
      <c r="L38" s="136">
        <f t="shared" si="6"/>
        <v>191129372.95076174</v>
      </c>
      <c r="M38" s="137">
        <f t="shared" si="7"/>
        <v>4370466.999248527</v>
      </c>
      <c r="N38" s="137">
        <f t="shared" si="8"/>
        <v>957753.7159151003</v>
      </c>
      <c r="O38" s="138">
        <f t="shared" si="9"/>
        <v>5328220.715163628</v>
      </c>
    </row>
    <row r="39" spans="1:15" s="139" customFormat="1" ht="12.75">
      <c r="A39" s="127">
        <f t="shared" si="10"/>
        <v>44869</v>
      </c>
      <c r="B39" s="128">
        <f>IF(DIAS365('CALCULADORA TIPS Pesos N-20'!$E$6,A39)&lt;0,0,DIAS365('CALCULADORA TIPS Pesos N-20'!$E$6,A39))</f>
        <v>92</v>
      </c>
      <c r="C39" s="165">
        <f>+HLOOKUP('CALCULADORA TIPS Pesos N-20'!$E$4,Tablas!$B$1:$C$181,Flujos!J39+1,FALSE)</f>
        <v>0.01510143</v>
      </c>
      <c r="D39" s="166">
        <f t="shared" si="2"/>
        <v>65.786228</v>
      </c>
      <c r="E39" s="167">
        <f t="shared" si="3"/>
        <v>1.510143</v>
      </c>
      <c r="F39" s="167">
        <f>ROUND(D38*ROUND(((1+'CALCULADORA TIPS Pesos N-20'!$C$14)^(1/12)-1),6),6)</f>
        <v>0.329685</v>
      </c>
      <c r="G39" s="167">
        <f t="shared" si="4"/>
        <v>1.839828</v>
      </c>
      <c r="H39" s="132">
        <f>IF($B39=0,0,G39/POWER(1+'CALCULADORA TIPS Pesos N-20'!$F$11,Flujos!$B39/365))</f>
        <v>1.8128315846167558</v>
      </c>
      <c r="I39" s="133">
        <f t="shared" si="1"/>
        <v>44869</v>
      </c>
      <c r="J39" s="134">
        <v>37</v>
      </c>
      <c r="K39" s="135">
        <f t="shared" si="5"/>
        <v>1126</v>
      </c>
      <c r="L39" s="136">
        <f t="shared" si="6"/>
        <v>186840394.50560927</v>
      </c>
      <c r="M39" s="137">
        <f t="shared" si="7"/>
        <v>4288978.445152449</v>
      </c>
      <c r="N39" s="137">
        <f t="shared" si="8"/>
        <v>936342.7980857816</v>
      </c>
      <c r="O39" s="138">
        <f t="shared" si="9"/>
        <v>5225321.243238231</v>
      </c>
    </row>
    <row r="40" spans="1:15" s="139" customFormat="1" ht="12.75">
      <c r="A40" s="127">
        <f t="shared" si="10"/>
        <v>44899</v>
      </c>
      <c r="B40" s="128">
        <f>IF(DIAS365('CALCULADORA TIPS Pesos N-20'!$E$6,A40)&lt;0,0,DIAS365('CALCULADORA TIPS Pesos N-20'!$E$6,A40))</f>
        <v>122</v>
      </c>
      <c r="C40" s="168">
        <f>+HLOOKUP('CALCULADORA TIPS Pesos N-20'!$E$4,Tablas!$B$1:$C$181,Flujos!J40+1,FALSE)</f>
        <v>0.01480314</v>
      </c>
      <c r="D40" s="169">
        <f t="shared" si="2"/>
        <v>64.305914</v>
      </c>
      <c r="E40" s="170">
        <f t="shared" si="3"/>
        <v>1.480314</v>
      </c>
      <c r="F40" s="170">
        <f>ROUND(D39*ROUND(((1+'CALCULADORA TIPS Pesos N-20'!$C$14)^(1/12)-1),6),6)</f>
        <v>0.322287</v>
      </c>
      <c r="G40" s="170">
        <f t="shared" si="4"/>
        <v>1.802601</v>
      </c>
      <c r="H40" s="132">
        <f>IF($B40=0,0,G40/POWER(1+'CALCULADORA TIPS Pesos N-20'!$F$11,Flujos!$B40/365))</f>
        <v>1.7676099651197732</v>
      </c>
      <c r="I40" s="133">
        <f t="shared" si="1"/>
        <v>44899</v>
      </c>
      <c r="J40" s="134">
        <v>38</v>
      </c>
      <c r="K40" s="135">
        <f t="shared" si="5"/>
        <v>1156</v>
      </c>
      <c r="L40" s="136">
        <f t="shared" si="6"/>
        <v>182636133.82429802</v>
      </c>
      <c r="M40" s="137">
        <f t="shared" si="7"/>
        <v>4204260.681311241</v>
      </c>
      <c r="N40" s="137">
        <f t="shared" si="8"/>
        <v>915331.0926829798</v>
      </c>
      <c r="O40" s="138">
        <f t="shared" si="9"/>
        <v>5119591.773994221</v>
      </c>
    </row>
    <row r="41" spans="1:15" s="139" customFormat="1" ht="12.75">
      <c r="A41" s="127">
        <f t="shared" si="10"/>
        <v>44930</v>
      </c>
      <c r="B41" s="128">
        <f>IF(DIAS365('CALCULADORA TIPS Pesos N-20'!$E$6,A41)&lt;0,0,DIAS365('CALCULADORA TIPS Pesos N-20'!$E$6,A41))</f>
        <v>153</v>
      </c>
      <c r="C41" s="171">
        <f>+HLOOKUP('CALCULADORA TIPS Pesos N-20'!$E$4,Tablas!$B$1:$C$181,Flujos!J41+1,FALSE)</f>
        <v>0.01449764</v>
      </c>
      <c r="D41" s="172">
        <f t="shared" si="2"/>
        <v>62.85615</v>
      </c>
      <c r="E41" s="173">
        <f t="shared" si="3"/>
        <v>1.449764</v>
      </c>
      <c r="F41" s="173">
        <f>ROUND(D40*ROUND(((1+'CALCULADORA TIPS Pesos N-20'!$C$14)^(1/12)-1),6),6)</f>
        <v>0.315035</v>
      </c>
      <c r="G41" s="173">
        <f t="shared" si="4"/>
        <v>1.764799</v>
      </c>
      <c r="H41" s="132">
        <f>IF($B41=0,0,G41/POWER(1+'CALCULADORA TIPS Pesos N-20'!$F$11,Flujos!$B41/365))</f>
        <v>1.7219435144112032</v>
      </c>
      <c r="I41" s="133">
        <f t="shared" si="1"/>
        <v>44930</v>
      </c>
      <c r="J41" s="134">
        <v>39</v>
      </c>
      <c r="K41" s="135">
        <f t="shared" si="5"/>
        <v>1187</v>
      </c>
      <c r="L41" s="136">
        <f t="shared" si="6"/>
        <v>178518638.62910262</v>
      </c>
      <c r="M41" s="137">
        <f t="shared" si="7"/>
        <v>4117495.1951954183</v>
      </c>
      <c r="N41" s="137">
        <f t="shared" si="8"/>
        <v>894734.4196052359</v>
      </c>
      <c r="O41" s="138">
        <f t="shared" si="9"/>
        <v>5012229.614800654</v>
      </c>
    </row>
    <row r="42" spans="1:15" s="139" customFormat="1" ht="12.75">
      <c r="A42" s="127">
        <f t="shared" si="10"/>
        <v>44961</v>
      </c>
      <c r="B42" s="128">
        <f>IF(DIAS365('CALCULADORA TIPS Pesos N-20'!$E$6,A42)&lt;0,0,DIAS365('CALCULADORA TIPS Pesos N-20'!$E$6,A42))</f>
        <v>184</v>
      </c>
      <c r="C42" s="174">
        <f>+HLOOKUP('CALCULADORA TIPS Pesos N-20'!$E$4,Tablas!$B$1:$C$181,Flujos!J42+1,FALSE)</f>
        <v>0.01422355</v>
      </c>
      <c r="D42" s="175">
        <f t="shared" si="2"/>
        <v>61.433795</v>
      </c>
      <c r="E42" s="176">
        <f t="shared" si="3"/>
        <v>1.422355</v>
      </c>
      <c r="F42" s="176">
        <f>ROUND(D41*ROUND(((1+'CALCULADORA TIPS Pesos N-20'!$C$14)^(1/12)-1),6),6)</f>
        <v>0.307932</v>
      </c>
      <c r="G42" s="176">
        <f t="shared" si="4"/>
        <v>1.7302870000000001</v>
      </c>
      <c r="H42" s="132">
        <f>IF($B42=0,0,G42/POWER(1+'CALCULADORA TIPS Pesos N-20'!$F$11,Flujos!$B42/365))</f>
        <v>1.6798813757100954</v>
      </c>
      <c r="I42" s="133">
        <f t="shared" si="1"/>
        <v>44961</v>
      </c>
      <c r="J42" s="134">
        <v>40</v>
      </c>
      <c r="K42" s="135">
        <f t="shared" si="5"/>
        <v>1218</v>
      </c>
      <c r="L42" s="136">
        <f t="shared" si="6"/>
        <v>174478988.12159783</v>
      </c>
      <c r="M42" s="137">
        <f t="shared" si="7"/>
        <v>4039650.5075047933</v>
      </c>
      <c r="N42" s="137">
        <f t="shared" si="8"/>
        <v>874562.8106439736</v>
      </c>
      <c r="O42" s="138">
        <f t="shared" si="9"/>
        <v>4914213.318148767</v>
      </c>
    </row>
    <row r="43" spans="1:15" s="139" customFormat="1" ht="12.75">
      <c r="A43" s="127">
        <f t="shared" si="10"/>
        <v>44989</v>
      </c>
      <c r="B43" s="128">
        <f>IF(DIAS365('CALCULADORA TIPS Pesos N-20'!$E$6,A43)&lt;0,0,DIAS365('CALCULADORA TIPS Pesos N-20'!$E$6,A43))</f>
        <v>212</v>
      </c>
      <c r="C43" s="177">
        <f>+HLOOKUP('CALCULADORA TIPS Pesos N-20'!$E$4,Tablas!$B$1:$C$181,Flujos!J43+1,FALSE)</f>
        <v>0.01393622</v>
      </c>
      <c r="D43" s="178">
        <f t="shared" si="2"/>
        <v>60.040173</v>
      </c>
      <c r="E43" s="179">
        <f t="shared" si="3"/>
        <v>1.393622</v>
      </c>
      <c r="F43" s="179">
        <f>ROUND(D42*ROUND(((1+'CALCULADORA TIPS Pesos N-20'!$C$14)^(1/12)-1),6),6)</f>
        <v>0.300964</v>
      </c>
      <c r="G43" s="179">
        <f t="shared" si="4"/>
        <v>1.694586</v>
      </c>
      <c r="H43" s="132">
        <f>IF($B43=0,0,G43/POWER(1+'CALCULADORA TIPS Pesos N-20'!$F$11,Flujos!$B43/365))</f>
        <v>1.6378353599172</v>
      </c>
      <c r="I43" s="133">
        <f t="shared" si="1"/>
        <v>44989</v>
      </c>
      <c r="J43" s="134">
        <v>41</v>
      </c>
      <c r="K43" s="135">
        <f t="shared" si="5"/>
        <v>1246</v>
      </c>
      <c r="L43" s="136">
        <f t="shared" si="6"/>
        <v>170520942.61286768</v>
      </c>
      <c r="M43" s="137">
        <f t="shared" si="7"/>
        <v>3958045.5087301307</v>
      </c>
      <c r="N43" s="137">
        <f t="shared" si="8"/>
        <v>854772.5628077077</v>
      </c>
      <c r="O43" s="138">
        <f t="shared" si="9"/>
        <v>4812818.071537838</v>
      </c>
    </row>
    <row r="44" spans="1:15" s="139" customFormat="1" ht="12.75">
      <c r="A44" s="127">
        <f t="shared" si="10"/>
        <v>45020</v>
      </c>
      <c r="B44" s="128">
        <f>IF(DIAS365('CALCULADORA TIPS Pesos N-20'!$E$6,A44)&lt;0,0,DIAS365('CALCULADORA TIPS Pesos N-20'!$E$6,A44))</f>
        <v>243</v>
      </c>
      <c r="C44" s="180">
        <f>+HLOOKUP('CALCULADORA TIPS Pesos N-20'!$E$4,Tablas!$B$1:$C$181,Flujos!J44+1,FALSE)</f>
        <v>0.01366703</v>
      </c>
      <c r="D44" s="181">
        <f t="shared" si="2"/>
        <v>58.67347</v>
      </c>
      <c r="E44" s="182">
        <f t="shared" si="3"/>
        <v>1.366703</v>
      </c>
      <c r="F44" s="182">
        <f>ROUND(D43*ROUND(((1+'CALCULADORA TIPS Pesos N-20'!$C$14)^(1/12)-1),6),6)</f>
        <v>0.294137</v>
      </c>
      <c r="G44" s="182">
        <f t="shared" si="4"/>
        <v>1.6608399999999999</v>
      </c>
      <c r="H44" s="132">
        <f>IF($B44=0,0,G44/POWER(1+'CALCULADORA TIPS Pesos N-20'!$F$11,Flujos!$B44/365))</f>
        <v>1.5972439185221752</v>
      </c>
      <c r="I44" s="133">
        <f t="shared" si="1"/>
        <v>45020</v>
      </c>
      <c r="J44" s="134">
        <v>42</v>
      </c>
      <c r="K44" s="135">
        <f t="shared" si="5"/>
        <v>1277</v>
      </c>
      <c r="L44" s="136">
        <f t="shared" si="6"/>
        <v>166639350.1359134</v>
      </c>
      <c r="M44" s="137">
        <f t="shared" si="7"/>
        <v>3881592.4769542934</v>
      </c>
      <c r="N44" s="137">
        <f t="shared" si="8"/>
        <v>835382.0978604387</v>
      </c>
      <c r="O44" s="138">
        <f t="shared" si="9"/>
        <v>4716974.574814732</v>
      </c>
    </row>
    <row r="45" spans="1:15" s="139" customFormat="1" ht="12.75">
      <c r="A45" s="127">
        <f t="shared" si="10"/>
        <v>45050</v>
      </c>
      <c r="B45" s="128">
        <f>IF(DIAS365('CALCULADORA TIPS Pesos N-20'!$E$6,A45)&lt;0,0,DIAS365('CALCULADORA TIPS Pesos N-20'!$E$6,A45))</f>
        <v>273</v>
      </c>
      <c r="C45" s="183">
        <f>+HLOOKUP('CALCULADORA TIPS Pesos N-20'!$E$4,Tablas!$B$1:$C$181,Flujos!J45+1,FALSE)</f>
        <v>0.01340383</v>
      </c>
      <c r="D45" s="184">
        <f t="shared" si="2"/>
        <v>57.333087</v>
      </c>
      <c r="E45" s="185">
        <f t="shared" si="3"/>
        <v>1.340383</v>
      </c>
      <c r="F45" s="185">
        <f>ROUND(D44*ROUND(((1+'CALCULADORA TIPS Pesos N-20'!$C$14)^(1/12)-1),6),6)</f>
        <v>0.287441</v>
      </c>
      <c r="G45" s="185">
        <f t="shared" si="4"/>
        <v>1.6278240000000002</v>
      </c>
      <c r="H45" s="132">
        <f>IF($B45=0,0,G45/POWER(1+'CALCULADORA TIPS Pesos N-20'!$F$11,Flujos!$B45/365))</f>
        <v>1.557964268437022</v>
      </c>
      <c r="I45" s="133">
        <f t="shared" si="1"/>
        <v>45050</v>
      </c>
      <c r="J45" s="134">
        <v>43</v>
      </c>
      <c r="K45" s="135">
        <f t="shared" si="5"/>
        <v>1307</v>
      </c>
      <c r="L45" s="136">
        <f t="shared" si="6"/>
        <v>162832509.46238196</v>
      </c>
      <c r="M45" s="137">
        <f t="shared" si="7"/>
        <v>3806840.6735314303</v>
      </c>
      <c r="N45" s="137">
        <f t="shared" si="8"/>
        <v>816366.1763158398</v>
      </c>
      <c r="O45" s="138">
        <f t="shared" si="9"/>
        <v>4623206.84984727</v>
      </c>
    </row>
    <row r="46" spans="1:15" s="139" customFormat="1" ht="12.75">
      <c r="A46" s="127">
        <f t="shared" si="10"/>
        <v>45081</v>
      </c>
      <c r="B46" s="128">
        <f>IF(DIAS365('CALCULADORA TIPS Pesos N-20'!$E$6,A46)&lt;0,0,DIAS365('CALCULADORA TIPS Pesos N-20'!$E$6,A46))</f>
        <v>304</v>
      </c>
      <c r="C46" s="183">
        <f>+HLOOKUP('CALCULADORA TIPS Pesos N-20'!$E$4,Tablas!$B$1:$C$181,Flujos!J46+1,FALSE)</f>
        <v>0.01313601</v>
      </c>
      <c r="D46" s="184">
        <f t="shared" si="2"/>
        <v>56.019486</v>
      </c>
      <c r="E46" s="185">
        <f t="shared" si="3"/>
        <v>1.313601</v>
      </c>
      <c r="F46" s="185">
        <f>ROUND(D45*ROUND(((1+'CALCULADORA TIPS Pesos N-20'!$C$14)^(1/12)-1),6),6)</f>
        <v>0.280875</v>
      </c>
      <c r="G46" s="185">
        <f t="shared" si="4"/>
        <v>1.594476</v>
      </c>
      <c r="H46" s="132">
        <f>IF($B46=0,0,G46/POWER(1+'CALCULADORA TIPS Pesos N-20'!$F$11,Flujos!$B46/365))</f>
        <v>1.5184652262441274</v>
      </c>
      <c r="I46" s="133">
        <f t="shared" si="1"/>
        <v>45081</v>
      </c>
      <c r="J46" s="134">
        <v>44</v>
      </c>
      <c r="K46" s="135">
        <f t="shared" si="5"/>
        <v>1338</v>
      </c>
      <c r="L46" s="136">
        <f t="shared" si="6"/>
        <v>159101732.72499305</v>
      </c>
      <c r="M46" s="137">
        <f t="shared" si="7"/>
        <v>3730776.7373889107</v>
      </c>
      <c r="N46" s="137">
        <f t="shared" si="8"/>
        <v>797716.4638562092</v>
      </c>
      <c r="O46" s="138">
        <f t="shared" si="9"/>
        <v>4528493.20124512</v>
      </c>
    </row>
    <row r="47" spans="1:15" s="139" customFormat="1" ht="12.75">
      <c r="A47" s="127">
        <f t="shared" si="10"/>
        <v>45111</v>
      </c>
      <c r="B47" s="128">
        <f>IF(DIAS365('CALCULADORA TIPS Pesos N-20'!$E$6,A47)&lt;0,0,DIAS365('CALCULADORA TIPS Pesos N-20'!$E$6,A47))</f>
        <v>334</v>
      </c>
      <c r="C47" s="183">
        <f>+HLOOKUP('CALCULADORA TIPS Pesos N-20'!$E$4,Tablas!$B$1:$C$181,Flujos!J47+1,FALSE)</f>
        <v>0.01287877</v>
      </c>
      <c r="D47" s="184">
        <f t="shared" si="2"/>
        <v>54.731609</v>
      </c>
      <c r="E47" s="185">
        <f t="shared" si="3"/>
        <v>1.287877</v>
      </c>
      <c r="F47" s="185">
        <f>ROUND(D46*ROUND(((1+'CALCULADORA TIPS Pesos N-20'!$C$14)^(1/12)-1),6),6)</f>
        <v>0.274439</v>
      </c>
      <c r="G47" s="185">
        <f t="shared" si="4"/>
        <v>1.562316</v>
      </c>
      <c r="H47" s="132">
        <f>IF($B47=0,0,G47/POWER(1+'CALCULADORA TIPS Pesos N-20'!$F$11,Flujos!$B47/365))</f>
        <v>1.4806838620541056</v>
      </c>
      <c r="I47" s="133">
        <f t="shared" si="1"/>
        <v>45111</v>
      </c>
      <c r="J47" s="134">
        <v>45</v>
      </c>
      <c r="K47" s="135">
        <f t="shared" si="5"/>
        <v>1368</v>
      </c>
      <c r="L47" s="136">
        <f t="shared" si="6"/>
        <v>155444015.08301637</v>
      </c>
      <c r="M47" s="137">
        <f t="shared" si="7"/>
        <v>3657717.641976687</v>
      </c>
      <c r="N47" s="137">
        <f t="shared" si="8"/>
        <v>779439.388619741</v>
      </c>
      <c r="O47" s="138">
        <f t="shared" si="9"/>
        <v>4437157.030596428</v>
      </c>
    </row>
    <row r="48" spans="1:15" s="139" customFormat="1" ht="12.75">
      <c r="A48" s="127">
        <f t="shared" si="10"/>
        <v>45142</v>
      </c>
      <c r="B48" s="128">
        <f>IF(DIAS365('CALCULADORA TIPS Pesos N-20'!$E$6,A48)&lt;0,0,DIAS365('CALCULADORA TIPS Pesos N-20'!$E$6,A48))</f>
        <v>365</v>
      </c>
      <c r="C48" s="186">
        <f>+HLOOKUP('CALCULADORA TIPS Pesos N-20'!$E$4,Tablas!$B$1:$C$181,Flujos!J48+1,FALSE)</f>
        <v>0.01263775</v>
      </c>
      <c r="D48" s="187">
        <f t="shared" si="2"/>
        <v>53.467834</v>
      </c>
      <c r="E48" s="188">
        <f t="shared" si="3"/>
        <v>1.263775</v>
      </c>
      <c r="F48" s="188">
        <f>ROUND(D47*ROUND(((1+'CALCULADORA TIPS Pesos N-20'!$C$14)^(1/12)-1),6),6)</f>
        <v>0.26813</v>
      </c>
      <c r="G48" s="188">
        <f t="shared" si="4"/>
        <v>1.531905</v>
      </c>
      <c r="H48" s="132">
        <f>IF($B48=0,0,G48/POWER(1+'CALCULADORA TIPS Pesos N-20'!$F$11,Flujos!$B48/365))</f>
        <v>1.4446482459449266</v>
      </c>
      <c r="I48" s="133">
        <f t="shared" si="1"/>
        <v>45142</v>
      </c>
      <c r="J48" s="134">
        <v>46</v>
      </c>
      <c r="K48" s="135">
        <f t="shared" si="5"/>
        <v>1399</v>
      </c>
      <c r="L48" s="136">
        <f t="shared" si="6"/>
        <v>151854749.87136254</v>
      </c>
      <c r="M48" s="137">
        <f t="shared" si="7"/>
        <v>3589265.2116538207</v>
      </c>
      <c r="N48" s="137">
        <f t="shared" si="8"/>
        <v>761520.2298916972</v>
      </c>
      <c r="O48" s="138">
        <f t="shared" si="9"/>
        <v>4350785.441545518</v>
      </c>
    </row>
    <row r="49" spans="1:15" s="139" customFormat="1" ht="12.75">
      <c r="A49" s="127">
        <f t="shared" si="10"/>
        <v>45173</v>
      </c>
      <c r="B49" s="128">
        <f>IF(DIAS365('CALCULADORA TIPS Pesos N-20'!$E$6,A49)&lt;0,0,DIAS365('CALCULADORA TIPS Pesos N-20'!$E$6,A49))</f>
        <v>396</v>
      </c>
      <c r="C49" s="189">
        <f>+HLOOKUP('CALCULADORA TIPS Pesos N-20'!$E$4,Tablas!$B$1:$C$181,Flujos!J49+1,FALSE)</f>
        <v>0.01240649</v>
      </c>
      <c r="D49" s="190">
        <f t="shared" si="2"/>
        <v>52.227185</v>
      </c>
      <c r="E49" s="191">
        <f t="shared" si="3"/>
        <v>1.240649</v>
      </c>
      <c r="F49" s="191">
        <f>ROUND(D48*ROUND(((1+'CALCULADORA TIPS Pesos N-20'!$C$14)^(1/12)-1),6),6)</f>
        <v>0.261939</v>
      </c>
      <c r="G49" s="191">
        <f t="shared" si="4"/>
        <v>1.5025879999999998</v>
      </c>
      <c r="H49" s="132">
        <f>IF($B49=0,0,G49/POWER(1+'CALCULADORA TIPS Pesos N-20'!$F$11,Flujos!$B49/365))</f>
        <v>1.409960725267456</v>
      </c>
      <c r="I49" s="133">
        <f t="shared" si="1"/>
        <v>45173</v>
      </c>
      <c r="J49" s="134">
        <v>47</v>
      </c>
      <c r="K49" s="135">
        <f t="shared" si="5"/>
        <v>1430</v>
      </c>
      <c r="L49" s="136">
        <f t="shared" si="6"/>
        <v>148331165.13865846</v>
      </c>
      <c r="M49" s="137">
        <f t="shared" si="7"/>
        <v>3523584.7327040816</v>
      </c>
      <c r="N49" s="137">
        <f t="shared" si="8"/>
        <v>743936.4196198051</v>
      </c>
      <c r="O49" s="138">
        <f t="shared" si="9"/>
        <v>4267521.152323887</v>
      </c>
    </row>
    <row r="50" spans="1:15" s="139" customFormat="1" ht="12.75">
      <c r="A50" s="127">
        <f t="shared" si="10"/>
        <v>45203</v>
      </c>
      <c r="B50" s="128">
        <f>IF(DIAS365('CALCULADORA TIPS Pesos N-20'!$E$6,A50)&lt;0,0,DIAS365('CALCULADORA TIPS Pesos N-20'!$E$6,A50))</f>
        <v>426</v>
      </c>
      <c r="C50" s="201">
        <f>+HLOOKUP('CALCULADORA TIPS Pesos N-20'!$E$4,Tablas!$B$1:$C$181,Flujos!J50+1,FALSE)</f>
        <v>0.0121748</v>
      </c>
      <c r="D50" s="202">
        <f t="shared" si="2"/>
        <v>51.009705</v>
      </c>
      <c r="E50" s="203">
        <f t="shared" si="3"/>
        <v>1.21748</v>
      </c>
      <c r="F50" s="203">
        <f>ROUND(D49*ROUND(((1+'CALCULADORA TIPS Pesos N-20'!$C$14)^(1/12)-1),6),6)</f>
        <v>0.255861</v>
      </c>
      <c r="G50" s="203">
        <f t="shared" si="4"/>
        <v>1.473341</v>
      </c>
      <c r="H50" s="132">
        <f>IF($B50=0,0,G50/POWER(1+'CALCULADORA TIPS Pesos N-20'!$F$11,Flujos!$B50/365))</f>
        <v>1.375868641055591</v>
      </c>
      <c r="I50" s="133">
        <f t="shared" si="1"/>
        <v>45203</v>
      </c>
      <c r="J50" s="134">
        <v>48</v>
      </c>
      <c r="K50" s="135">
        <f t="shared" si="5"/>
        <v>1460</v>
      </c>
      <c r="L50" s="136">
        <f t="shared" si="6"/>
        <v>144873383.00981092</v>
      </c>
      <c r="M50" s="137">
        <f t="shared" si="7"/>
        <v>3457782.1288475352</v>
      </c>
      <c r="N50" s="137">
        <f t="shared" si="8"/>
        <v>726674.3780142878</v>
      </c>
      <c r="O50" s="138">
        <f t="shared" si="9"/>
        <v>4184456.506861823</v>
      </c>
    </row>
    <row r="51" spans="1:15" s="139" customFormat="1" ht="12.75">
      <c r="A51" s="127">
        <f t="shared" si="10"/>
        <v>45234</v>
      </c>
      <c r="B51" s="128">
        <f>IF(DIAS365('CALCULADORA TIPS Pesos N-20'!$E$6,A51)&lt;0,0,DIAS365('CALCULADORA TIPS Pesos N-20'!$E$6,A51))</f>
        <v>457</v>
      </c>
      <c r="C51" s="201">
        <f>+HLOOKUP('CALCULADORA TIPS Pesos N-20'!$E$4,Tablas!$B$1:$C$181,Flujos!J51+1,FALSE)</f>
        <v>0.01194372</v>
      </c>
      <c r="D51" s="202">
        <f t="shared" si="2"/>
        <v>49.815333</v>
      </c>
      <c r="E51" s="203">
        <f t="shared" si="3"/>
        <v>1.194372</v>
      </c>
      <c r="F51" s="203">
        <f>ROUND(D50*ROUND(((1+'CALCULADORA TIPS Pesos N-20'!$C$14)^(1/12)-1),6),6)</f>
        <v>0.249897</v>
      </c>
      <c r="G51" s="203">
        <f t="shared" si="4"/>
        <v>1.444269</v>
      </c>
      <c r="H51" s="132">
        <f>IF($B51=0,0,G51/POWER(1+'CALCULADORA TIPS Pesos N-20'!$F$11,Flujos!$B51/365))</f>
        <v>1.3420188183113357</v>
      </c>
      <c r="I51" s="133">
        <f t="shared" si="1"/>
        <v>45234</v>
      </c>
      <c r="J51" s="134">
        <v>49</v>
      </c>
      <c r="K51" s="135">
        <f t="shared" si="5"/>
        <v>1491</v>
      </c>
      <c r="L51" s="136">
        <f t="shared" si="6"/>
        <v>141481230.23785913</v>
      </c>
      <c r="M51" s="137">
        <f t="shared" si="7"/>
        <v>3392152.771951809</v>
      </c>
      <c r="N51" s="137">
        <f t="shared" si="8"/>
        <v>709734.7033650636</v>
      </c>
      <c r="O51" s="138">
        <f t="shared" si="9"/>
        <v>4101887.475316873</v>
      </c>
    </row>
    <row r="52" spans="1:15" s="139" customFormat="1" ht="12.75">
      <c r="A52" s="127">
        <f t="shared" si="10"/>
        <v>45264</v>
      </c>
      <c r="B52" s="128">
        <f>IF(DIAS365('CALCULADORA TIPS Pesos N-20'!$E$6,A52)&lt;0,0,DIAS365('CALCULADORA TIPS Pesos N-20'!$E$6,A52))</f>
        <v>487</v>
      </c>
      <c r="C52" s="201">
        <f>+HLOOKUP('CALCULADORA TIPS Pesos N-20'!$E$4,Tablas!$B$1:$C$181,Flujos!J52+1,FALSE)</f>
        <v>0.01171298</v>
      </c>
      <c r="D52" s="202">
        <f t="shared" si="2"/>
        <v>48.644035</v>
      </c>
      <c r="E52" s="203">
        <f t="shared" si="3"/>
        <v>1.171298</v>
      </c>
      <c r="F52" s="203">
        <f>ROUND(D51*ROUND(((1+'CALCULADORA TIPS Pesos N-20'!$C$14)^(1/12)-1),6),6)</f>
        <v>0.244045</v>
      </c>
      <c r="G52" s="203">
        <f t="shared" si="4"/>
        <v>1.415343</v>
      </c>
      <c r="H52" s="132">
        <f>IF($B52=0,0,G52/POWER(1+'CALCULADORA TIPS Pesos N-20'!$F$11,Flujos!$B52/365))</f>
        <v>1.3088166640983165</v>
      </c>
      <c r="I52" s="133">
        <f t="shared" si="1"/>
        <v>45264</v>
      </c>
      <c r="J52" s="134">
        <v>50</v>
      </c>
      <c r="K52" s="135">
        <f t="shared" si="5"/>
        <v>1521</v>
      </c>
      <c r="L52" s="136">
        <f t="shared" si="6"/>
        <v>138154610.25892323</v>
      </c>
      <c r="M52" s="137">
        <f t="shared" si="7"/>
        <v>3326619.9789358843</v>
      </c>
      <c r="N52" s="137">
        <f t="shared" si="8"/>
        <v>693116.5469352718</v>
      </c>
      <c r="O52" s="138">
        <f t="shared" si="9"/>
        <v>4019736.5258711562</v>
      </c>
    </row>
    <row r="53" spans="1:15" s="139" customFormat="1" ht="12.75">
      <c r="A53" s="127">
        <f t="shared" si="10"/>
        <v>45295</v>
      </c>
      <c r="B53" s="128">
        <f>IF(DIAS365('CALCULADORA TIPS Pesos N-20'!$E$6,A53)&lt;0,0,DIAS365('CALCULADORA TIPS Pesos N-20'!$E$6,A53))</f>
        <v>518</v>
      </c>
      <c r="C53" s="201">
        <f>+HLOOKUP('CALCULADORA TIPS Pesos N-20'!$E$4,Tablas!$B$1:$C$181,Flujos!J53+1,FALSE)</f>
        <v>0.01147675</v>
      </c>
      <c r="D53" s="202">
        <f t="shared" si="2"/>
        <v>47.49636</v>
      </c>
      <c r="E53" s="203">
        <f t="shared" si="3"/>
        <v>1.147675</v>
      </c>
      <c r="F53" s="203">
        <f>ROUND(D52*ROUND(((1+'CALCULADORA TIPS Pesos N-20'!$C$14)^(1/12)-1),6),6)</f>
        <v>0.238307</v>
      </c>
      <c r="G53" s="203">
        <f t="shared" si="4"/>
        <v>1.385982</v>
      </c>
      <c r="H53" s="132">
        <f>IF($B53=0,0,G53/POWER(1+'CALCULADORA TIPS Pesos N-20'!$F$11,Flujos!$B53/365))</f>
        <v>1.2752975430828495</v>
      </c>
      <c r="I53" s="133">
        <f t="shared" si="1"/>
        <v>45295</v>
      </c>
      <c r="J53" s="134">
        <v>51</v>
      </c>
      <c r="K53" s="135">
        <f t="shared" si="5"/>
        <v>1552</v>
      </c>
      <c r="L53" s="136">
        <f t="shared" si="6"/>
        <v>134895082.29565066</v>
      </c>
      <c r="M53" s="137">
        <f t="shared" si="7"/>
        <v>3259527.9632725758</v>
      </c>
      <c r="N53" s="137">
        <f t="shared" si="8"/>
        <v>676819.4356584649</v>
      </c>
      <c r="O53" s="138">
        <f t="shared" si="9"/>
        <v>3936347.3989310404</v>
      </c>
    </row>
    <row r="54" spans="1:15" s="139" customFormat="1" ht="12.75">
      <c r="A54" s="127">
        <f t="shared" si="10"/>
        <v>45326</v>
      </c>
      <c r="B54" s="128">
        <f>IF(DIAS365('CALCULADORA TIPS Pesos N-20'!$E$6,A54)&lt;0,0,DIAS365('CALCULADORA TIPS Pesos N-20'!$E$6,A54))</f>
        <v>549</v>
      </c>
      <c r="C54" s="201">
        <f>+HLOOKUP('CALCULADORA TIPS Pesos N-20'!$E$4,Tablas!$B$1:$C$181,Flujos!J54+1,FALSE)</f>
        <v>0.01125007</v>
      </c>
      <c r="D54" s="202">
        <f t="shared" si="2"/>
        <v>46.371353</v>
      </c>
      <c r="E54" s="203">
        <f t="shared" si="3"/>
        <v>1.125007</v>
      </c>
      <c r="F54" s="203">
        <f>ROUND(D53*ROUND(((1+'CALCULADORA TIPS Pesos N-20'!$C$14)^(1/12)-1),6),6)</f>
        <v>0.232685</v>
      </c>
      <c r="G54" s="203">
        <f t="shared" si="4"/>
        <v>1.3576920000000001</v>
      </c>
      <c r="H54" s="132">
        <f>IF($B54=0,0,G54/POWER(1+'CALCULADORA TIPS Pesos N-20'!$F$11,Flujos!$B54/365))</f>
        <v>1.243059767175305</v>
      </c>
      <c r="I54" s="133">
        <f t="shared" si="1"/>
        <v>45326</v>
      </c>
      <c r="J54" s="134">
        <v>52</v>
      </c>
      <c r="K54" s="135">
        <f t="shared" si="5"/>
        <v>1583</v>
      </c>
      <c r="L54" s="136">
        <f t="shared" si="6"/>
        <v>131699934.03906462</v>
      </c>
      <c r="M54" s="137">
        <f t="shared" si="7"/>
        <v>3195148.2565860455</v>
      </c>
      <c r="N54" s="137">
        <f t="shared" si="8"/>
        <v>660851.0081663926</v>
      </c>
      <c r="O54" s="138">
        <f t="shared" si="9"/>
        <v>3855999.2647524383</v>
      </c>
    </row>
    <row r="55" spans="1:15" s="139" customFormat="1" ht="12.75">
      <c r="A55" s="127">
        <f t="shared" si="10"/>
        <v>45355</v>
      </c>
      <c r="B55" s="128">
        <f>IF(DIAS365('CALCULADORA TIPS Pesos N-20'!$E$6,A55)&lt;0,0,DIAS365('CALCULADORA TIPS Pesos N-20'!$E$6,A55))</f>
        <v>577</v>
      </c>
      <c r="C55" s="201">
        <f>+HLOOKUP('CALCULADORA TIPS Pesos N-20'!$E$4,Tablas!$B$1:$C$181,Flujos!J55+1,FALSE)</f>
        <v>0.01103122</v>
      </c>
      <c r="D55" s="202">
        <f t="shared" si="2"/>
        <v>45.268231</v>
      </c>
      <c r="E55" s="203">
        <f t="shared" si="3"/>
        <v>1.103122</v>
      </c>
      <c r="F55" s="203">
        <f>ROUND(D54*ROUND(((1+'CALCULADORA TIPS Pesos N-20'!$C$14)^(1/12)-1),6),6)</f>
        <v>0.227173</v>
      </c>
      <c r="G55" s="203">
        <f t="shared" si="4"/>
        <v>1.330295</v>
      </c>
      <c r="H55" s="132">
        <f>IF($B55=0,0,G55/POWER(1+'CALCULADORA TIPS Pesos N-20'!$F$11,Flujos!$B55/365))</f>
        <v>1.212508714492312</v>
      </c>
      <c r="I55" s="133">
        <f t="shared" si="1"/>
        <v>45355</v>
      </c>
      <c r="J55" s="134">
        <v>53</v>
      </c>
      <c r="K55" s="135">
        <f t="shared" si="5"/>
        <v>1611</v>
      </c>
      <c r="L55" s="136">
        <f t="shared" si="6"/>
        <v>128566941.67981555</v>
      </c>
      <c r="M55" s="137">
        <f t="shared" si="7"/>
        <v>3132992.3592490642</v>
      </c>
      <c r="N55" s="137">
        <f t="shared" si="8"/>
        <v>645197.9768573776</v>
      </c>
      <c r="O55" s="138">
        <f t="shared" si="9"/>
        <v>3778190.336106442</v>
      </c>
    </row>
    <row r="56" spans="1:15" s="139" customFormat="1" ht="12.75">
      <c r="A56" s="127">
        <f t="shared" si="10"/>
        <v>45386</v>
      </c>
      <c r="B56" s="128">
        <f>IF(DIAS365('CALCULADORA TIPS Pesos N-20'!$E$6,A56)&lt;0,0,DIAS365('CALCULADORA TIPS Pesos N-20'!$E$6,A56))</f>
        <v>608</v>
      </c>
      <c r="C56" s="201">
        <f>+HLOOKUP('CALCULADORA TIPS Pesos N-20'!$E$4,Tablas!$B$1:$C$181,Flujos!J56+1,FALSE)</f>
        <v>0.01081263</v>
      </c>
      <c r="D56" s="202">
        <f t="shared" si="2"/>
        <v>44.186968</v>
      </c>
      <c r="E56" s="203">
        <f t="shared" si="3"/>
        <v>1.081263</v>
      </c>
      <c r="F56" s="203">
        <f>ROUND(D55*ROUND(((1+'CALCULADORA TIPS Pesos N-20'!$C$14)^(1/12)-1),6),6)</f>
        <v>0.221769</v>
      </c>
      <c r="G56" s="203">
        <f t="shared" si="4"/>
        <v>1.303032</v>
      </c>
      <c r="H56" s="132">
        <f>IF($B56=0,0,G56/POWER(1+'CALCULADORA TIPS Pesos N-20'!$F$11,Flujos!$B56/365))</f>
        <v>1.1817587035917252</v>
      </c>
      <c r="I56" s="133">
        <f t="shared" si="1"/>
        <v>45386</v>
      </c>
      <c r="J56" s="134">
        <v>54</v>
      </c>
      <c r="K56" s="135">
        <f t="shared" si="5"/>
        <v>1642</v>
      </c>
      <c r="L56" s="136">
        <f t="shared" si="6"/>
        <v>125496031.37493655</v>
      </c>
      <c r="M56" s="137">
        <f t="shared" si="7"/>
        <v>3070910.3048789897</v>
      </c>
      <c r="N56" s="137">
        <f t="shared" si="8"/>
        <v>629849.4472894163</v>
      </c>
      <c r="O56" s="138">
        <f t="shared" si="9"/>
        <v>3700759.752168406</v>
      </c>
    </row>
    <row r="57" spans="1:15" s="139" customFormat="1" ht="12.75">
      <c r="A57" s="127">
        <f t="shared" si="10"/>
        <v>45416</v>
      </c>
      <c r="B57" s="128">
        <f>IF(DIAS365('CALCULADORA TIPS Pesos N-20'!$E$6,A57)&lt;0,0,DIAS365('CALCULADORA TIPS Pesos N-20'!$E$6,A57))</f>
        <v>638</v>
      </c>
      <c r="C57" s="201">
        <f>+HLOOKUP('CALCULADORA TIPS Pesos N-20'!$E$4,Tablas!$B$1:$C$181,Flujos!J57+1,FALSE)</f>
        <v>0.01059611</v>
      </c>
      <c r="D57" s="202">
        <f t="shared" si="2"/>
        <v>43.127357</v>
      </c>
      <c r="E57" s="203">
        <f t="shared" si="3"/>
        <v>1.059611</v>
      </c>
      <c r="F57" s="203">
        <f>ROUND(D56*ROUND(((1+'CALCULADORA TIPS Pesos N-20'!$C$14)^(1/12)-1),6),6)</f>
        <v>0.216472</v>
      </c>
      <c r="G57" s="203">
        <f t="shared" si="4"/>
        <v>1.276083</v>
      </c>
      <c r="H57" s="132">
        <f>IF($B57=0,0,G57/POWER(1+'CALCULADORA TIPS Pesos N-20'!$F$11,Flujos!$B57/365))</f>
        <v>1.151752728348021</v>
      </c>
      <c r="I57" s="133">
        <f t="shared" si="1"/>
        <v>45416</v>
      </c>
      <c r="J57" s="134">
        <v>55</v>
      </c>
      <c r="K57" s="135">
        <f t="shared" si="5"/>
        <v>1672</v>
      </c>
      <c r="L57" s="136">
        <f t="shared" si="6"/>
        <v>122486615.2208065</v>
      </c>
      <c r="M57" s="137">
        <f t="shared" si="7"/>
        <v>3009416.15413006</v>
      </c>
      <c r="N57" s="137">
        <f t="shared" si="8"/>
        <v>614805.0577058141</v>
      </c>
      <c r="O57" s="138">
        <f t="shared" si="9"/>
        <v>3624221.2118358742</v>
      </c>
    </row>
    <row r="58" spans="1:15" s="139" customFormat="1" ht="12.75">
      <c r="A58" s="127">
        <f t="shared" si="10"/>
        <v>45447</v>
      </c>
      <c r="B58" s="128">
        <f>IF(DIAS365('CALCULADORA TIPS Pesos N-20'!$E$6,A58)&lt;0,0,DIAS365('CALCULADORA TIPS Pesos N-20'!$E$6,A58))</f>
        <v>669</v>
      </c>
      <c r="C58" s="201">
        <f>+HLOOKUP('CALCULADORA TIPS Pesos N-20'!$E$4,Tablas!$B$1:$C$181,Flujos!J58+1,FALSE)</f>
        <v>0.01039555</v>
      </c>
      <c r="D58" s="202">
        <f t="shared" si="2"/>
        <v>42.087802</v>
      </c>
      <c r="E58" s="203">
        <f t="shared" si="3"/>
        <v>1.039555</v>
      </c>
      <c r="F58" s="203">
        <f>ROUND(D57*ROUND(((1+'CALCULADORA TIPS Pesos N-20'!$C$14)^(1/12)-1),6),6)</f>
        <v>0.211281</v>
      </c>
      <c r="G58" s="203">
        <f t="shared" si="4"/>
        <v>1.250836</v>
      </c>
      <c r="H58" s="132">
        <f>IF($B58=0,0,G58/POWER(1+'CALCULADORA TIPS Pesos N-20'!$F$11,Flujos!$B58/365))</f>
        <v>1.1233562789941334</v>
      </c>
      <c r="I58" s="133">
        <f t="shared" si="1"/>
        <v>45447</v>
      </c>
      <c r="J58" s="134">
        <v>56</v>
      </c>
      <c r="K58" s="135">
        <f t="shared" si="5"/>
        <v>1703</v>
      </c>
      <c r="L58" s="136">
        <f t="shared" si="6"/>
        <v>119534160.3953029</v>
      </c>
      <c r="M58" s="137">
        <f t="shared" si="7"/>
        <v>2952454.8255035807</v>
      </c>
      <c r="N58" s="137">
        <f t="shared" si="8"/>
        <v>600061.927966731</v>
      </c>
      <c r="O58" s="138">
        <f t="shared" si="9"/>
        <v>3552516.753470312</v>
      </c>
    </row>
    <row r="59" spans="1:15" s="139" customFormat="1" ht="12.75">
      <c r="A59" s="127">
        <f t="shared" si="10"/>
        <v>45477</v>
      </c>
      <c r="B59" s="128">
        <f>IF(DIAS365('CALCULADORA TIPS Pesos N-20'!$E$6,A59)&lt;0,0,DIAS365('CALCULADORA TIPS Pesos N-20'!$E$6,A59))</f>
        <v>699</v>
      </c>
      <c r="C59" s="201">
        <f>+HLOOKUP('CALCULADORA TIPS Pesos N-20'!$E$4,Tablas!$B$1:$C$181,Flujos!J59+1,FALSE)</f>
        <v>0.01019788</v>
      </c>
      <c r="D59" s="202">
        <f t="shared" si="2"/>
        <v>41.068014</v>
      </c>
      <c r="E59" s="203">
        <f t="shared" si="3"/>
        <v>1.019788</v>
      </c>
      <c r="F59" s="203">
        <f>ROUND(D58*ROUND(((1+'CALCULADORA TIPS Pesos N-20'!$C$14)^(1/12)-1),6),6)</f>
        <v>0.206188</v>
      </c>
      <c r="G59" s="203">
        <f t="shared" si="4"/>
        <v>1.225976</v>
      </c>
      <c r="H59" s="132">
        <f>IF($B59=0,0,G59/POWER(1+'CALCULADORA TIPS Pesos N-20'!$F$11,Flujos!$B59/365))</f>
        <v>1.0957354485725614</v>
      </c>
      <c r="I59" s="133">
        <f t="shared" si="1"/>
        <v>45477</v>
      </c>
      <c r="J59" s="134">
        <v>57</v>
      </c>
      <c r="K59" s="135">
        <f t="shared" si="5"/>
        <v>1733</v>
      </c>
      <c r="L59" s="136">
        <f t="shared" si="6"/>
        <v>116637846.10544749</v>
      </c>
      <c r="M59" s="137">
        <f t="shared" si="7"/>
        <v>2896314.2898554145</v>
      </c>
      <c r="N59" s="137">
        <f t="shared" si="8"/>
        <v>585597.8517765889</v>
      </c>
      <c r="O59" s="138">
        <f t="shared" si="9"/>
        <v>3481912.1416320037</v>
      </c>
    </row>
    <row r="60" spans="1:15" s="139" customFormat="1" ht="12.75">
      <c r="A60" s="127">
        <f t="shared" si="10"/>
        <v>45508</v>
      </c>
      <c r="B60" s="128">
        <f>IF(DIAS365('CALCULADORA TIPS Pesos N-20'!$E$6,A60)&lt;0,0,DIAS365('CALCULADORA TIPS Pesos N-20'!$E$6,A60))</f>
        <v>730</v>
      </c>
      <c r="C60" s="201">
        <f>+HLOOKUP('CALCULADORA TIPS Pesos N-20'!$E$4,Tablas!$B$1:$C$181,Flujos!J60+1,FALSE)</f>
        <v>0.01012693</v>
      </c>
      <c r="D60" s="202">
        <f t="shared" si="2"/>
        <v>40.055321</v>
      </c>
      <c r="E60" s="203">
        <f t="shared" si="3"/>
        <v>1.012693</v>
      </c>
      <c r="F60" s="203">
        <f>ROUND(D59*ROUND(((1+'CALCULADORA TIPS Pesos N-20'!$C$14)^(1/12)-1),6),6)</f>
        <v>0.201192</v>
      </c>
      <c r="G60" s="203">
        <f t="shared" si="4"/>
        <v>1.213885</v>
      </c>
      <c r="H60" s="132">
        <f>IF($B60=0,0,G60/POWER(1+'CALCULADORA TIPS Pesos N-20'!$F$11,Flujos!$B60/365))</f>
        <v>1.0795384288769703</v>
      </c>
      <c r="I60" s="133">
        <f t="shared" si="1"/>
        <v>45508</v>
      </c>
      <c r="J60" s="134">
        <v>58</v>
      </c>
      <c r="K60" s="135">
        <f t="shared" si="5"/>
        <v>1764</v>
      </c>
      <c r="L60" s="136">
        <f t="shared" si="6"/>
        <v>113761682.42521536</v>
      </c>
      <c r="M60" s="137">
        <f t="shared" si="7"/>
        <v>2876163.680232116</v>
      </c>
      <c r="N60" s="137">
        <f t="shared" si="8"/>
        <v>571408.8080705872</v>
      </c>
      <c r="O60" s="138">
        <f t="shared" si="9"/>
        <v>3447572.488302703</v>
      </c>
    </row>
    <row r="61" spans="1:15" s="139" customFormat="1" ht="12.75">
      <c r="A61" s="127">
        <f t="shared" si="10"/>
        <v>45539</v>
      </c>
      <c r="B61" s="128">
        <f>IF(DIAS365('CALCULADORA TIPS Pesos N-20'!$E$6,A61)&lt;0,0,DIAS365('CALCULADORA TIPS Pesos N-20'!$E$6,A61))</f>
        <v>761</v>
      </c>
      <c r="C61" s="201">
        <f>+HLOOKUP('CALCULADORA TIPS Pesos N-20'!$E$4,Tablas!$B$1:$C$181,Flujos!J61+1,FALSE)</f>
        <v>0.01210374</v>
      </c>
      <c r="D61" s="202">
        <f t="shared" si="2"/>
        <v>38.844947</v>
      </c>
      <c r="E61" s="203">
        <f t="shared" si="3"/>
        <v>1.210374</v>
      </c>
      <c r="F61" s="203">
        <f>ROUND(D60*ROUND(((1+'CALCULADORA TIPS Pesos N-20'!$C$14)^(1/12)-1),6),6)</f>
        <v>0.196231</v>
      </c>
      <c r="G61" s="203">
        <f t="shared" si="4"/>
        <v>1.406605</v>
      </c>
      <c r="H61" s="132">
        <f>IF($B61=0,0,G61/POWER(1+'CALCULADORA TIPS Pesos N-20'!$F$11,Flujos!$B61/365))</f>
        <v>1.2447138933155746</v>
      </c>
      <c r="I61" s="133">
        <f t="shared" si="1"/>
        <v>45539</v>
      </c>
      <c r="J61" s="134">
        <v>59</v>
      </c>
      <c r="K61" s="135">
        <f t="shared" si="5"/>
        <v>1795</v>
      </c>
      <c r="L61" s="136">
        <f t="shared" si="6"/>
        <v>110324082.14724636</v>
      </c>
      <c r="M61" s="137">
        <f t="shared" si="7"/>
        <v>3437600.277969007</v>
      </c>
      <c r="N61" s="137">
        <f t="shared" si="8"/>
        <v>557318.48220113</v>
      </c>
      <c r="O61" s="138">
        <f t="shared" si="9"/>
        <v>3994918.760170137</v>
      </c>
    </row>
    <row r="62" spans="1:15" s="139" customFormat="1" ht="12.75">
      <c r="A62" s="127">
        <f t="shared" si="10"/>
        <v>45569</v>
      </c>
      <c r="B62" s="128">
        <f>IF(DIAS365('CALCULADORA TIPS Pesos N-20'!$E$6,A62)&lt;0,0,DIAS365('CALCULADORA TIPS Pesos N-20'!$E$6,A62))</f>
        <v>791</v>
      </c>
      <c r="C62" s="201">
        <f>+HLOOKUP('CALCULADORA TIPS Pesos N-20'!$E$4,Tablas!$B$1:$C$181,Flujos!J62+1,FALSE)</f>
        <v>0.01158874</v>
      </c>
      <c r="D62" s="202">
        <f t="shared" si="2"/>
        <v>37.686073</v>
      </c>
      <c r="E62" s="203">
        <f t="shared" si="3"/>
        <v>1.158874</v>
      </c>
      <c r="F62" s="203">
        <f>ROUND(D61*ROUND(((1+'CALCULADORA TIPS Pesos N-20'!$C$14)^(1/12)-1),6),6)</f>
        <v>0.190301</v>
      </c>
      <c r="G62" s="203">
        <f t="shared" si="4"/>
        <v>1.349175</v>
      </c>
      <c r="H62" s="132">
        <f>IF($B62=0,0,G62/POWER(1+'CALCULADORA TIPS Pesos N-20'!$F$11,Flujos!$B62/365))</f>
        <v>1.188152712648004</v>
      </c>
      <c r="I62" s="133">
        <f t="shared" si="1"/>
        <v>45569</v>
      </c>
      <c r="J62" s="134">
        <v>60</v>
      </c>
      <c r="K62" s="135">
        <f t="shared" si="5"/>
        <v>1825</v>
      </c>
      <c r="L62" s="136">
        <f t="shared" si="6"/>
        <v>107032747.74603562</v>
      </c>
      <c r="M62" s="137">
        <f t="shared" si="7"/>
        <v>3291334.401210746</v>
      </c>
      <c r="N62" s="137">
        <f t="shared" si="8"/>
        <v>540477.6784393599</v>
      </c>
      <c r="O62" s="138">
        <f t="shared" si="9"/>
        <v>3831812.079650106</v>
      </c>
    </row>
    <row r="63" spans="1:15" s="139" customFormat="1" ht="12.75">
      <c r="A63" s="127">
        <f t="shared" si="10"/>
        <v>45600</v>
      </c>
      <c r="B63" s="128">
        <f>IF(DIAS365('CALCULADORA TIPS Pesos N-20'!$E$6,A63)&lt;0,0,DIAS365('CALCULADORA TIPS Pesos N-20'!$E$6,A63))</f>
        <v>822</v>
      </c>
      <c r="C63" s="201">
        <f>+HLOOKUP('CALCULADORA TIPS Pesos N-20'!$E$4,Tablas!$B$1:$C$181,Flujos!J63+1,FALSE)</f>
        <v>0.01166231</v>
      </c>
      <c r="D63" s="202">
        <f t="shared" si="2"/>
        <v>36.519842</v>
      </c>
      <c r="E63" s="203">
        <f t="shared" si="3"/>
        <v>1.166231</v>
      </c>
      <c r="F63" s="203">
        <f>ROUND(D62*ROUND(((1+'CALCULADORA TIPS Pesos N-20'!$C$14)^(1/12)-1),6),6)</f>
        <v>0.184624</v>
      </c>
      <c r="G63" s="203">
        <f t="shared" si="4"/>
        <v>1.3508550000000001</v>
      </c>
      <c r="H63" s="132">
        <f>IF($B63=0,0,G63/POWER(1+'CALCULADORA TIPS Pesos N-20'!$F$11,Flujos!$B63/365))</f>
        <v>1.183721488765686</v>
      </c>
      <c r="I63" s="133">
        <f t="shared" si="1"/>
        <v>45600</v>
      </c>
      <c r="J63" s="134">
        <v>61</v>
      </c>
      <c r="K63" s="135">
        <f t="shared" si="5"/>
        <v>1856</v>
      </c>
      <c r="L63" s="136">
        <f t="shared" si="6"/>
        <v>103720518.62530428</v>
      </c>
      <c r="M63" s="137">
        <f t="shared" si="7"/>
        <v>3312229.1207313384</v>
      </c>
      <c r="N63" s="137">
        <f t="shared" si="8"/>
        <v>524353.4312078285</v>
      </c>
      <c r="O63" s="138">
        <f t="shared" si="9"/>
        <v>3836582.551939167</v>
      </c>
    </row>
    <row r="64" spans="1:15" s="139" customFormat="1" ht="12.75">
      <c r="A64" s="127">
        <f t="shared" si="10"/>
        <v>45630</v>
      </c>
      <c r="B64" s="128">
        <f>IF(DIAS365('CALCULADORA TIPS Pesos N-20'!$E$6,A64)&lt;0,0,DIAS365('CALCULADORA TIPS Pesos N-20'!$E$6,A64))</f>
        <v>852</v>
      </c>
      <c r="C64" s="201">
        <f>+HLOOKUP('CALCULADORA TIPS Pesos N-20'!$E$4,Tablas!$B$1:$C$181,Flujos!J64+1,FALSE)</f>
        <v>0.01144486</v>
      </c>
      <c r="D64" s="202">
        <f t="shared" si="2"/>
        <v>35.375356</v>
      </c>
      <c r="E64" s="203">
        <f t="shared" si="3"/>
        <v>1.144486</v>
      </c>
      <c r="F64" s="203">
        <f>ROUND(D63*ROUND(((1+'CALCULADORA TIPS Pesos N-20'!$C$14)^(1/12)-1),6),6)</f>
        <v>0.178911</v>
      </c>
      <c r="G64" s="203">
        <f t="shared" si="4"/>
        <v>1.323397</v>
      </c>
      <c r="H64" s="132">
        <f>IF($B64=0,0,G64/POWER(1+'CALCULADORA TIPS Pesos N-20'!$F$11,Flujos!$B64/365))</f>
        <v>1.1540843221369284</v>
      </c>
      <c r="I64" s="133">
        <f t="shared" si="1"/>
        <v>45630</v>
      </c>
      <c r="J64" s="134">
        <v>62</v>
      </c>
      <c r="K64" s="135">
        <f t="shared" si="5"/>
        <v>1886</v>
      </c>
      <c r="L64" s="136">
        <f t="shared" si="6"/>
        <v>100470047.78593427</v>
      </c>
      <c r="M64" s="137">
        <f t="shared" si="7"/>
        <v>3250470.83937001</v>
      </c>
      <c r="N64" s="137">
        <f t="shared" si="8"/>
        <v>508126.82074536564</v>
      </c>
      <c r="O64" s="138">
        <f t="shared" si="9"/>
        <v>3758597.6601153756</v>
      </c>
    </row>
    <row r="65" spans="1:15" s="153" customFormat="1" ht="12.75">
      <c r="A65" s="141">
        <f t="shared" si="10"/>
        <v>45661</v>
      </c>
      <c r="B65" s="142">
        <f>IF(DIAS365('CALCULADORA TIPS Pesos N-20'!$E$6,A65)&lt;0,0,DIAS365('CALCULADORA TIPS Pesos N-20'!$E$6,A65))</f>
        <v>883</v>
      </c>
      <c r="C65" s="208">
        <f>+HLOOKUP('CALCULADORA TIPS Pesos N-20'!$E$4,Tablas!$B$1:$C$181,Flujos!J65+1,FALSE)</f>
        <v>0.01120834</v>
      </c>
      <c r="D65" s="209">
        <f t="shared" si="2"/>
        <v>34.254522</v>
      </c>
      <c r="E65" s="210">
        <f t="shared" si="3"/>
        <v>1.120834</v>
      </c>
      <c r="F65" s="210">
        <f>ROUND(D64*ROUND(((1+'CALCULADORA TIPS Pesos N-20'!$C$14)^(1/12)-1),6),6)</f>
        <v>0.173304</v>
      </c>
      <c r="G65" s="210">
        <f t="shared" si="4"/>
        <v>1.2941380000000002</v>
      </c>
      <c r="H65" s="146">
        <f>IF($B65=0,0,G65/POWER(1+'CALCULADORA TIPS Pesos N-20'!$F$11,Flujos!$B65/365))</f>
        <v>1.1229613358879544</v>
      </c>
      <c r="I65" s="147">
        <f t="shared" si="1"/>
        <v>45661</v>
      </c>
      <c r="J65" s="148">
        <v>63</v>
      </c>
      <c r="K65" s="149">
        <f t="shared" si="5"/>
        <v>1917</v>
      </c>
      <c r="L65" s="150">
        <f t="shared" si="6"/>
        <v>97286751.32553682</v>
      </c>
      <c r="M65" s="151">
        <f t="shared" si="7"/>
        <v>3183296.460397459</v>
      </c>
      <c r="N65" s="151">
        <f t="shared" si="8"/>
        <v>492202.76410329196</v>
      </c>
      <c r="O65" s="152">
        <f t="shared" si="9"/>
        <v>3675499.224500751</v>
      </c>
    </row>
    <row r="66" spans="1:15" s="153" customFormat="1" ht="12.75">
      <c r="A66" s="141">
        <f t="shared" si="10"/>
        <v>45692</v>
      </c>
      <c r="B66" s="142">
        <f>IF(DIAS365('CALCULADORA TIPS Pesos N-20'!$E$6,A66)&lt;0,0,DIAS365('CALCULADORA TIPS Pesos N-20'!$E$6,A66))</f>
        <v>914</v>
      </c>
      <c r="C66" s="208">
        <f>+HLOOKUP('CALCULADORA TIPS Pesos N-20'!$E$4,Tablas!$B$1:$C$181,Flujos!J66+1,FALSE)</f>
        <v>0.01100694</v>
      </c>
      <c r="D66" s="209">
        <f t="shared" si="2"/>
        <v>33.153828</v>
      </c>
      <c r="E66" s="210">
        <f t="shared" si="3"/>
        <v>1.100694</v>
      </c>
      <c r="F66" s="210">
        <f>ROUND(D65*ROUND(((1+'CALCULADORA TIPS Pesos N-20'!$C$14)^(1/12)-1),6),6)</f>
        <v>0.167813</v>
      </c>
      <c r="G66" s="210">
        <f t="shared" si="4"/>
        <v>1.268507</v>
      </c>
      <c r="H66" s="146">
        <f>IF($B66=0,0,G66/POWER(1+'CALCULADORA TIPS Pesos N-20'!$F$11,Flujos!$B66/365))</f>
        <v>1.0952516103636347</v>
      </c>
      <c r="I66" s="147">
        <f t="shared" si="1"/>
        <v>45692</v>
      </c>
      <c r="J66" s="148">
        <v>64</v>
      </c>
      <c r="K66" s="149">
        <f t="shared" si="5"/>
        <v>1948</v>
      </c>
      <c r="L66" s="150">
        <f t="shared" si="6"/>
        <v>94160654.76335123</v>
      </c>
      <c r="M66" s="151">
        <f t="shared" si="7"/>
        <v>3126096.5621855874</v>
      </c>
      <c r="N66" s="151">
        <f t="shared" si="8"/>
        <v>476607.79474380484</v>
      </c>
      <c r="O66" s="152">
        <f t="shared" si="9"/>
        <v>3602704.356929392</v>
      </c>
    </row>
    <row r="67" spans="1:15" s="153" customFormat="1" ht="12.75">
      <c r="A67" s="141">
        <f aca="true" t="shared" si="11" ref="A67:A98">_XLL.FECHA.MES(A66,1)</f>
        <v>45720</v>
      </c>
      <c r="B67" s="142">
        <f>IF(DIAS365('CALCULADORA TIPS Pesos N-20'!$E$6,A67)&lt;0,0,DIAS365('CALCULADORA TIPS Pesos N-20'!$E$6,A67))</f>
        <v>942</v>
      </c>
      <c r="C67" s="208">
        <f>+HLOOKUP('CALCULADORA TIPS Pesos N-20'!$E$4,Tablas!$B$1:$C$181,Flujos!J67+1,FALSE)</f>
        <v>0.01081533</v>
      </c>
      <c r="D67" s="209">
        <f t="shared" si="2"/>
        <v>32.072295</v>
      </c>
      <c r="E67" s="210">
        <f t="shared" si="3"/>
        <v>1.081533</v>
      </c>
      <c r="F67" s="210">
        <f>ROUND(D66*ROUND(((1+'CALCULADORA TIPS Pesos N-20'!$C$14)^(1/12)-1),6),6)</f>
        <v>0.162421</v>
      </c>
      <c r="G67" s="210">
        <f t="shared" si="4"/>
        <v>1.243954</v>
      </c>
      <c r="H67" s="146">
        <f>IF($B67=0,0,G67/POWER(1+'CALCULADORA TIPS Pesos N-20'!$F$11,Flujos!$B67/365))</f>
        <v>1.0692309262979687</v>
      </c>
      <c r="I67" s="147">
        <f aca="true" t="shared" si="12" ref="I67:I130">+A67</f>
        <v>45720</v>
      </c>
      <c r="J67" s="148">
        <v>65</v>
      </c>
      <c r="K67" s="149">
        <f t="shared" si="5"/>
        <v>1976</v>
      </c>
      <c r="L67" s="150">
        <f t="shared" si="6"/>
        <v>91088977.62766205</v>
      </c>
      <c r="M67" s="151">
        <f t="shared" si="7"/>
        <v>3071677.1356891785</v>
      </c>
      <c r="N67" s="151">
        <f t="shared" si="8"/>
        <v>461293.0476856577</v>
      </c>
      <c r="O67" s="152">
        <f t="shared" si="9"/>
        <v>3532970.183374836</v>
      </c>
    </row>
    <row r="68" spans="1:15" s="153" customFormat="1" ht="12.75">
      <c r="A68" s="141">
        <f t="shared" si="11"/>
        <v>45751</v>
      </c>
      <c r="B68" s="142">
        <f>IF(DIAS365('CALCULADORA TIPS Pesos N-20'!$E$6,A68)&lt;0,0,DIAS365('CALCULADORA TIPS Pesos N-20'!$E$6,A68))</f>
        <v>973</v>
      </c>
      <c r="C68" s="208">
        <f>+HLOOKUP('CALCULADORA TIPS Pesos N-20'!$E$4,Tablas!$B$1:$C$181,Flujos!J68+1,FALSE)</f>
        <v>0.01061737</v>
      </c>
      <c r="D68" s="209">
        <f aca="true" t="shared" si="13" ref="D68:D131">+ROUND(D67-E68,6)</f>
        <v>31.010558</v>
      </c>
      <c r="E68" s="210">
        <f aca="true" t="shared" si="14" ref="E68:E131">ROUND(C68*$D$2,6)</f>
        <v>1.061737</v>
      </c>
      <c r="F68" s="210">
        <f>ROUND(D67*ROUND(((1+'CALCULADORA TIPS Pesos N-20'!$C$14)^(1/12)-1),6),6)</f>
        <v>0.157122</v>
      </c>
      <c r="G68" s="210">
        <f aca="true" t="shared" si="15" ref="G68:G131">F68+E68</f>
        <v>1.218859</v>
      </c>
      <c r="H68" s="146">
        <f>IF($B68=0,0,G68/POWER(1+'CALCULADORA TIPS Pesos N-20'!$F$11,Flujos!$B68/365))</f>
        <v>1.0424553863534116</v>
      </c>
      <c r="I68" s="147">
        <f t="shared" si="12"/>
        <v>45751</v>
      </c>
      <c r="J68" s="148">
        <v>66</v>
      </c>
      <c r="K68" s="149">
        <f aca="true" t="shared" si="16" ref="K68:K131">+DIAS365($A$2,A68)</f>
        <v>2007</v>
      </c>
      <c r="L68" s="150">
        <f aca="true" t="shared" si="17" ref="L68:L131">+L67-M68</f>
        <v>88073523.39093028</v>
      </c>
      <c r="M68" s="151">
        <f aca="true" t="shared" si="18" ref="M68:M131">+$L$2*C68</f>
        <v>3015454.23673177</v>
      </c>
      <c r="N68" s="151">
        <f aca="true" t="shared" si="19" ref="N68:N131">+L67*$F$3%</f>
        <v>446244.9013979164</v>
      </c>
      <c r="O68" s="152">
        <f aca="true" t="shared" si="20" ref="O68:O131">+N68+M68</f>
        <v>3461699.1381296865</v>
      </c>
    </row>
    <row r="69" spans="1:15" s="139" customFormat="1" ht="12.75">
      <c r="A69" s="127">
        <f t="shared" si="11"/>
        <v>45781</v>
      </c>
      <c r="B69" s="128">
        <f>IF(DIAS365('CALCULADORA TIPS Pesos N-20'!$E$6,A69)&lt;0,0,DIAS365('CALCULADORA TIPS Pesos N-20'!$E$6,A69))</f>
        <v>1003</v>
      </c>
      <c r="C69" s="201">
        <f>+HLOOKUP('CALCULADORA TIPS Pesos N-20'!$E$4,Tablas!$B$1:$C$181,Flujos!J69+1,FALSE)</f>
        <v>0.01042638</v>
      </c>
      <c r="D69" s="202">
        <f t="shared" si="13"/>
        <v>29.96792</v>
      </c>
      <c r="E69" s="203">
        <f t="shared" si="14"/>
        <v>1.042638</v>
      </c>
      <c r="F69" s="203">
        <f>ROUND(D68*ROUND(((1+'CALCULADORA TIPS Pesos N-20'!$C$14)^(1/12)-1),6),6)</f>
        <v>0.151921</v>
      </c>
      <c r="G69" s="203">
        <f t="shared" si="15"/>
        <v>1.194559</v>
      </c>
      <c r="H69" s="132">
        <f>IF($B69=0,0,G69/POWER(1+'CALCULADORA TIPS Pesos N-20'!$F$11,Flujos!$B69/365))</f>
        <v>1.0167594377727387</v>
      </c>
      <c r="I69" s="133">
        <f t="shared" si="12"/>
        <v>45781</v>
      </c>
      <c r="J69" s="134">
        <v>67</v>
      </c>
      <c r="K69" s="135">
        <f t="shared" si="16"/>
        <v>2037</v>
      </c>
      <c r="L69" s="136">
        <f t="shared" si="17"/>
        <v>85112312.49362</v>
      </c>
      <c r="M69" s="137">
        <f t="shared" si="18"/>
        <v>2961210.8973102937</v>
      </c>
      <c r="N69" s="137">
        <f t="shared" si="19"/>
        <v>431472.1910921674</v>
      </c>
      <c r="O69" s="138">
        <f t="shared" si="20"/>
        <v>3392683.0884024613</v>
      </c>
    </row>
    <row r="70" spans="1:15" s="139" customFormat="1" ht="12.75">
      <c r="A70" s="127">
        <f t="shared" si="11"/>
        <v>45812</v>
      </c>
      <c r="B70" s="128">
        <f>IF(DIAS365('CALCULADORA TIPS Pesos N-20'!$E$6,A70)&lt;0,0,DIAS365('CALCULADORA TIPS Pesos N-20'!$E$6,A70))</f>
        <v>1034</v>
      </c>
      <c r="C70" s="201">
        <f>+HLOOKUP('CALCULADORA TIPS Pesos N-20'!$E$4,Tablas!$B$1:$C$181,Flujos!J70+1,FALSE)</f>
        <v>0.01021576</v>
      </c>
      <c r="D70" s="202">
        <f t="shared" si="13"/>
        <v>28.946344</v>
      </c>
      <c r="E70" s="203">
        <f t="shared" si="14"/>
        <v>1.021576</v>
      </c>
      <c r="F70" s="203">
        <f>ROUND(D69*ROUND(((1+'CALCULADORA TIPS Pesos N-20'!$C$14)^(1/12)-1),6),6)</f>
        <v>0.146813</v>
      </c>
      <c r="G70" s="203">
        <f t="shared" si="15"/>
        <v>1.1683890000000001</v>
      </c>
      <c r="H70" s="132">
        <f>IF($B70=0,0,G70/POWER(1+'CALCULADORA TIPS Pesos N-20'!$F$11,Flujos!$B70/365))</f>
        <v>0.9895434890200708</v>
      </c>
      <c r="I70" s="133">
        <f t="shared" si="12"/>
        <v>45812</v>
      </c>
      <c r="J70" s="134">
        <v>68</v>
      </c>
      <c r="K70" s="135">
        <f t="shared" si="16"/>
        <v>2068</v>
      </c>
      <c r="L70" s="136">
        <f t="shared" si="17"/>
        <v>82210920.07973266</v>
      </c>
      <c r="M70" s="137">
        <f t="shared" si="18"/>
        <v>2901392.4138873327</v>
      </c>
      <c r="N70" s="137">
        <f t="shared" si="19"/>
        <v>416965.2189062443</v>
      </c>
      <c r="O70" s="138">
        <f t="shared" si="20"/>
        <v>3318357.632793577</v>
      </c>
    </row>
    <row r="71" spans="1:15" s="139" customFormat="1" ht="12.75">
      <c r="A71" s="127">
        <f t="shared" si="11"/>
        <v>45842</v>
      </c>
      <c r="B71" s="128">
        <f>IF(DIAS365('CALCULADORA TIPS Pesos N-20'!$E$6,A71)&lt;0,0,DIAS365('CALCULADORA TIPS Pesos N-20'!$E$6,A71))</f>
        <v>1064</v>
      </c>
      <c r="C71" s="201">
        <f>+HLOOKUP('CALCULADORA TIPS Pesos N-20'!$E$4,Tablas!$B$1:$C$181,Flujos!J71+1,FALSE)</f>
        <v>0.01002884</v>
      </c>
      <c r="D71" s="202">
        <f t="shared" si="13"/>
        <v>27.94346</v>
      </c>
      <c r="E71" s="203">
        <f t="shared" si="14"/>
        <v>1.002884</v>
      </c>
      <c r="F71" s="203">
        <f>ROUND(D70*ROUND(((1+'CALCULADORA TIPS Pesos N-20'!$C$14)^(1/12)-1),6),6)</f>
        <v>0.141808</v>
      </c>
      <c r="G71" s="203">
        <f t="shared" si="15"/>
        <v>1.144692</v>
      </c>
      <c r="H71" s="132">
        <f>IF($B71=0,0,G71/POWER(1+'CALCULADORA TIPS Pesos N-20'!$F$11,Flujos!$B71/365))</f>
        <v>0.9648119458872675</v>
      </c>
      <c r="I71" s="133">
        <f t="shared" si="12"/>
        <v>45842</v>
      </c>
      <c r="J71" s="134">
        <v>69</v>
      </c>
      <c r="K71" s="135">
        <f t="shared" si="16"/>
        <v>2098</v>
      </c>
      <c r="L71" s="136">
        <f t="shared" si="17"/>
        <v>79362615.0788233</v>
      </c>
      <c r="M71" s="137">
        <f t="shared" si="18"/>
        <v>2848305.0009093634</v>
      </c>
      <c r="N71" s="137">
        <f t="shared" si="19"/>
        <v>402751.29747061024</v>
      </c>
      <c r="O71" s="138">
        <f t="shared" si="20"/>
        <v>3251056.2983799735</v>
      </c>
    </row>
    <row r="72" spans="1:15" s="154" customFormat="1" ht="12.75">
      <c r="A72" s="192">
        <f t="shared" si="11"/>
        <v>45873</v>
      </c>
      <c r="B72" s="193">
        <f>IF(DIAS365('CALCULADORA TIPS Pesos N-20'!$E$6,A72)&lt;0,0,DIAS365('CALCULADORA TIPS Pesos N-20'!$E$6,A72))</f>
        <v>1095</v>
      </c>
      <c r="C72" s="205">
        <f>+HLOOKUP('CALCULADORA TIPS Pesos N-20'!$E$4,Tablas!$B$1:$C$181,Flujos!J72+1,FALSE)</f>
        <v>0.0098179</v>
      </c>
      <c r="D72" s="206">
        <f t="shared" si="13"/>
        <v>26.96167</v>
      </c>
      <c r="E72" s="207">
        <f t="shared" si="14"/>
        <v>0.98179</v>
      </c>
      <c r="F72" s="207">
        <f>ROUND(D71*ROUND(((1+'CALCULADORA TIPS Pesos N-20'!$C$14)^(1/12)-1),6),6)</f>
        <v>0.136895</v>
      </c>
      <c r="G72" s="207">
        <f t="shared" si="15"/>
        <v>1.1186850000000002</v>
      </c>
      <c r="H72" s="194">
        <f>IF($B72=0,0,G72/POWER(1+'CALCULADORA TIPS Pesos N-20'!$F$11,Flujos!$B72/365))</f>
        <v>0.9382069756836112</v>
      </c>
      <c r="I72" s="195">
        <f t="shared" si="12"/>
        <v>45873</v>
      </c>
      <c r="J72" s="196">
        <v>70</v>
      </c>
      <c r="K72" s="197">
        <f t="shared" si="16"/>
        <v>2129</v>
      </c>
      <c r="L72" s="198">
        <f t="shared" si="17"/>
        <v>76574219.44498847</v>
      </c>
      <c r="M72" s="199">
        <f t="shared" si="18"/>
        <v>2788395.633834824</v>
      </c>
      <c r="N72" s="199">
        <f t="shared" si="19"/>
        <v>388797.4512711553</v>
      </c>
      <c r="O72" s="200">
        <f t="shared" si="20"/>
        <v>3177193.0851059793</v>
      </c>
    </row>
    <row r="73" spans="1:15" ht="12.75">
      <c r="A73" s="4">
        <f t="shared" si="11"/>
        <v>45904</v>
      </c>
      <c r="B73" s="9">
        <f>IF(DIAS365('CALCULADORA TIPS Pesos N-20'!$E$6,A73)&lt;0,0,DIAS365('CALCULADORA TIPS Pesos N-20'!$E$6,A73))</f>
        <v>1126</v>
      </c>
      <c r="C73" s="5">
        <f>+HLOOKUP('CALCULADORA TIPS Pesos N-20'!$E$4,Tablas!$B$1:$C$181,Flujos!J73+1,FALSE)</f>
        <v>0.00961893</v>
      </c>
      <c r="D73" s="14">
        <f t="shared" si="13"/>
        <v>25.999777</v>
      </c>
      <c r="E73" s="15">
        <f t="shared" si="14"/>
        <v>0.961893</v>
      </c>
      <c r="F73" s="15">
        <f>ROUND(D72*ROUND(((1+'CALCULADORA TIPS Pesos N-20'!$C$14)^(1/12)-1),6),6)</f>
        <v>0.132085</v>
      </c>
      <c r="G73" s="15">
        <f t="shared" si="15"/>
        <v>1.093978</v>
      </c>
      <c r="H73" s="22">
        <f>IF($B73=0,0,G73/POWER(1+'CALCULADORA TIPS Pesos N-20'!$F$11,Flujos!$B73/365))</f>
        <v>0.9129274161426367</v>
      </c>
      <c r="I73" s="23">
        <f t="shared" si="12"/>
        <v>45904</v>
      </c>
      <c r="J73" s="20">
        <v>71</v>
      </c>
      <c r="K73" s="12">
        <f t="shared" si="16"/>
        <v>2160</v>
      </c>
      <c r="L73" s="76">
        <f t="shared" si="17"/>
        <v>73842333.56163636</v>
      </c>
      <c r="M73" s="73">
        <f t="shared" si="18"/>
        <v>2731885.8833521223</v>
      </c>
      <c r="N73" s="73">
        <f t="shared" si="19"/>
        <v>375137.1010609985</v>
      </c>
      <c r="O73" s="74">
        <f t="shared" si="20"/>
        <v>3107022.984413121</v>
      </c>
    </row>
    <row r="74" spans="1:15" ht="12.75">
      <c r="A74" s="4">
        <f t="shared" si="11"/>
        <v>45934</v>
      </c>
      <c r="B74" s="9">
        <f>IF(DIAS365('CALCULADORA TIPS Pesos N-20'!$E$6,A74)&lt;0,0,DIAS365('CALCULADORA TIPS Pesos N-20'!$E$6,A74))</f>
        <v>1156</v>
      </c>
      <c r="C74" s="5">
        <f>+HLOOKUP('CALCULADORA TIPS Pesos N-20'!$E$4,Tablas!$B$1:$C$181,Flujos!J74+1,FALSE)</f>
        <v>0.00912372</v>
      </c>
      <c r="D74" s="14">
        <f t="shared" si="13"/>
        <v>25.087405</v>
      </c>
      <c r="E74" s="15">
        <f t="shared" si="14"/>
        <v>0.912372</v>
      </c>
      <c r="F74" s="15">
        <f>ROUND(D73*ROUND(((1+'CALCULADORA TIPS Pesos N-20'!$C$14)^(1/12)-1),6),6)</f>
        <v>0.127373</v>
      </c>
      <c r="G74" s="15">
        <f t="shared" si="15"/>
        <v>1.039745</v>
      </c>
      <c r="H74" s="22">
        <f>IF($B74=0,0,G74/POWER(1+'CALCULADORA TIPS Pesos N-20'!$F$11,Flujos!$B74/365))</f>
        <v>0.8634975311604175</v>
      </c>
      <c r="I74" s="23">
        <f t="shared" si="12"/>
        <v>45934</v>
      </c>
      <c r="J74" s="20">
        <v>72</v>
      </c>
      <c r="K74" s="12">
        <f t="shared" si="16"/>
        <v>2190</v>
      </c>
      <c r="L74" s="76">
        <f t="shared" si="17"/>
        <v>71251092.96921523</v>
      </c>
      <c r="M74" s="73">
        <f t="shared" si="18"/>
        <v>2591240.592421135</v>
      </c>
      <c r="N74" s="73">
        <f t="shared" si="19"/>
        <v>361753.5921184565</v>
      </c>
      <c r="O74" s="74">
        <f t="shared" si="20"/>
        <v>2952994.1845395914</v>
      </c>
    </row>
    <row r="75" spans="1:15" ht="12.75">
      <c r="A75" s="4">
        <f t="shared" si="11"/>
        <v>45965</v>
      </c>
      <c r="B75" s="9">
        <f>IF(DIAS365('CALCULADORA TIPS Pesos N-20'!$E$6,A75)&lt;0,0,DIAS365('CALCULADORA TIPS Pesos N-20'!$E$6,A75))</f>
        <v>1187</v>
      </c>
      <c r="C75" s="5">
        <f>+HLOOKUP('CALCULADORA TIPS Pesos N-20'!$E$4,Tablas!$B$1:$C$181,Flujos!J75+1,FALSE)</f>
        <v>0.00923069</v>
      </c>
      <c r="D75" s="14">
        <f t="shared" si="13"/>
        <v>24.164336</v>
      </c>
      <c r="E75" s="15">
        <f t="shared" si="14"/>
        <v>0.923069</v>
      </c>
      <c r="F75" s="15">
        <f>ROUND(D74*ROUND(((1+'CALCULADORA TIPS Pesos N-20'!$C$14)^(1/12)-1),6),6)</f>
        <v>0.122903</v>
      </c>
      <c r="G75" s="15">
        <f t="shared" si="15"/>
        <v>1.0459720000000001</v>
      </c>
      <c r="H75" s="22">
        <f>IF($B75=0,0,G75/POWER(1+'CALCULADORA TIPS Pesos N-20'!$F$11,Flujos!$B75/365))</f>
        <v>0.8643529865227764</v>
      </c>
      <c r="I75" s="23">
        <f t="shared" si="12"/>
        <v>45965</v>
      </c>
      <c r="J75" s="20">
        <v>73</v>
      </c>
      <c r="K75" s="12">
        <f t="shared" si="16"/>
        <v>2221</v>
      </c>
      <c r="L75" s="76">
        <f t="shared" si="17"/>
        <v>68629471.67614006</v>
      </c>
      <c r="M75" s="73">
        <f t="shared" si="18"/>
        <v>2621621.293075176</v>
      </c>
      <c r="N75" s="73">
        <f t="shared" si="19"/>
        <v>349059.10445618536</v>
      </c>
      <c r="O75" s="74">
        <f t="shared" si="20"/>
        <v>2970680.3975313613</v>
      </c>
    </row>
    <row r="76" spans="1:15" ht="12.75">
      <c r="A76" s="4">
        <f t="shared" si="11"/>
        <v>45995</v>
      </c>
      <c r="B76" s="9">
        <f>IF(DIAS365('CALCULADORA TIPS Pesos N-20'!$E$6,A76)&lt;0,0,DIAS365('CALCULADORA TIPS Pesos N-20'!$E$6,A76))</f>
        <v>1217</v>
      </c>
      <c r="C76" s="5">
        <f>+HLOOKUP('CALCULADORA TIPS Pesos N-20'!$E$4,Tablas!$B$1:$C$181,Flujos!J76+1,FALSE)</f>
        <v>0.00903719</v>
      </c>
      <c r="D76" s="14">
        <f t="shared" si="13"/>
        <v>23.260617</v>
      </c>
      <c r="E76" s="15">
        <f t="shared" si="14"/>
        <v>0.903719</v>
      </c>
      <c r="F76" s="15">
        <f>ROUND(D75*ROUND(((1+'CALCULADORA TIPS Pesos N-20'!$C$14)^(1/12)-1),6),6)</f>
        <v>0.118381</v>
      </c>
      <c r="G76" s="15">
        <f t="shared" si="15"/>
        <v>1.0221</v>
      </c>
      <c r="H76" s="22">
        <f>IF($B76=0,0,G76/POWER(1+'CALCULADORA TIPS Pesos N-20'!$F$11,Flujos!$B76/365))</f>
        <v>0.8405645396045228</v>
      </c>
      <c r="I76" s="23">
        <f t="shared" si="12"/>
        <v>45995</v>
      </c>
      <c r="J76" s="20">
        <v>74</v>
      </c>
      <c r="K76" s="12">
        <f t="shared" si="16"/>
        <v>2251</v>
      </c>
      <c r="L76" s="76">
        <f t="shared" si="17"/>
        <v>66062806.59112842</v>
      </c>
      <c r="M76" s="73">
        <f t="shared" si="18"/>
        <v>2566665.0850116354</v>
      </c>
      <c r="N76" s="73">
        <f t="shared" si="19"/>
        <v>336215.7817414101</v>
      </c>
      <c r="O76" s="74">
        <f t="shared" si="20"/>
        <v>2902880.8667530455</v>
      </c>
    </row>
    <row r="77" spans="1:15" ht="12.75">
      <c r="A77" s="4">
        <f t="shared" si="11"/>
        <v>46026</v>
      </c>
      <c r="B77" s="9">
        <f>IF(DIAS365('CALCULADORA TIPS Pesos N-20'!$E$6,A77)&lt;0,0,DIAS365('CALCULADORA TIPS Pesos N-20'!$E$6,A77))</f>
        <v>1248</v>
      </c>
      <c r="C77" s="5">
        <f>+HLOOKUP('CALCULADORA TIPS Pesos N-20'!$E$4,Tablas!$B$1:$C$181,Flujos!J77+1,FALSE)</f>
        <v>0.00884779</v>
      </c>
      <c r="D77" s="14">
        <f t="shared" si="13"/>
        <v>22.375838</v>
      </c>
      <c r="E77" s="15">
        <f t="shared" si="14"/>
        <v>0.884779</v>
      </c>
      <c r="F77" s="15">
        <f>ROUND(D76*ROUND(((1+'CALCULADORA TIPS Pesos N-20'!$C$14)^(1/12)-1),6),6)</f>
        <v>0.113954</v>
      </c>
      <c r="G77" s="15">
        <f t="shared" si="15"/>
        <v>0.998733</v>
      </c>
      <c r="H77" s="22">
        <f>IF($B77=0,0,G77/POWER(1+'CALCULADORA TIPS Pesos N-20'!$F$11,Flujos!$B77/365))</f>
        <v>0.8172668715053497</v>
      </c>
      <c r="I77" s="23">
        <f t="shared" si="12"/>
        <v>46026</v>
      </c>
      <c r="J77" s="20">
        <v>75</v>
      </c>
      <c r="K77" s="12">
        <f t="shared" si="16"/>
        <v>2282</v>
      </c>
      <c r="L77" s="76">
        <f t="shared" si="17"/>
        <v>63549933.26739448</v>
      </c>
      <c r="M77" s="73">
        <f t="shared" si="18"/>
        <v>2512873.3237339365</v>
      </c>
      <c r="N77" s="73">
        <f t="shared" si="19"/>
        <v>323641.6894899381</v>
      </c>
      <c r="O77" s="74">
        <f t="shared" si="20"/>
        <v>2836515.0132238744</v>
      </c>
    </row>
    <row r="78" spans="1:15" ht="12.75">
      <c r="A78" s="4">
        <f t="shared" si="11"/>
        <v>46057</v>
      </c>
      <c r="B78" s="9">
        <f>IF(DIAS365('CALCULADORA TIPS Pesos N-20'!$E$6,A78)&lt;0,0,DIAS365('CALCULADORA TIPS Pesos N-20'!$E$6,A78))</f>
        <v>1279</v>
      </c>
      <c r="C78" s="5">
        <f>+HLOOKUP('CALCULADORA TIPS Pesos N-20'!$E$4,Tablas!$B$1:$C$181,Flujos!J78+1,FALSE)</f>
        <v>0.00865869</v>
      </c>
      <c r="D78" s="14">
        <f t="shared" si="13"/>
        <v>21.509969</v>
      </c>
      <c r="E78" s="15">
        <f t="shared" si="14"/>
        <v>0.865869</v>
      </c>
      <c r="F78" s="15">
        <f>ROUND(D77*ROUND(((1+'CALCULADORA TIPS Pesos N-20'!$C$14)^(1/12)-1),6),6)</f>
        <v>0.109619</v>
      </c>
      <c r="G78" s="15">
        <f t="shared" si="15"/>
        <v>0.975488</v>
      </c>
      <c r="H78" s="22">
        <f>IF($B78=0,0,G78/POWER(1+'CALCULADORA TIPS Pesos N-20'!$F$11,Flujos!$B78/365))</f>
        <v>0.7942793001666709</v>
      </c>
      <c r="I78" s="23">
        <f t="shared" si="12"/>
        <v>46057</v>
      </c>
      <c r="J78" s="20">
        <v>76</v>
      </c>
      <c r="K78" s="12">
        <f t="shared" si="16"/>
        <v>2313</v>
      </c>
      <c r="L78" s="76">
        <f t="shared" si="17"/>
        <v>61090766.50151489</v>
      </c>
      <c r="M78" s="73">
        <f t="shared" si="18"/>
        <v>2459166.765879593</v>
      </c>
      <c r="N78" s="73">
        <f t="shared" si="19"/>
        <v>311331.12307696557</v>
      </c>
      <c r="O78" s="74">
        <f t="shared" si="20"/>
        <v>2770497.8889565584</v>
      </c>
    </row>
    <row r="79" spans="1:15" ht="12.75">
      <c r="A79" s="4">
        <f t="shared" si="11"/>
        <v>46085</v>
      </c>
      <c r="B79" s="9">
        <f>IF(DIAS365('CALCULADORA TIPS Pesos N-20'!$E$6,A79)&lt;0,0,DIAS365('CALCULADORA TIPS Pesos N-20'!$E$6,A79))</f>
        <v>1307</v>
      </c>
      <c r="C79" s="5">
        <f>+HLOOKUP('CALCULADORA TIPS Pesos N-20'!$E$4,Tablas!$B$1:$C$181,Flujos!J79+1,FALSE)</f>
        <v>0.00848921</v>
      </c>
      <c r="D79" s="14">
        <f t="shared" si="13"/>
        <v>20.661048</v>
      </c>
      <c r="E79" s="15">
        <f t="shared" si="14"/>
        <v>0.848921</v>
      </c>
      <c r="F79" s="15">
        <f>ROUND(D78*ROUND(((1+'CALCULADORA TIPS Pesos N-20'!$C$14)^(1/12)-1),6),6)</f>
        <v>0.105377</v>
      </c>
      <c r="G79" s="15">
        <f t="shared" si="15"/>
        <v>0.9542980000000001</v>
      </c>
      <c r="H79" s="22">
        <f>IF($B79=0,0,G79/POWER(1+'CALCULADORA TIPS Pesos N-20'!$F$11,Flujos!$B79/365))</f>
        <v>0.773537701022012</v>
      </c>
      <c r="I79" s="23">
        <f t="shared" si="12"/>
        <v>46085</v>
      </c>
      <c r="J79" s="20">
        <v>77</v>
      </c>
      <c r="K79" s="12">
        <f t="shared" si="16"/>
        <v>2341</v>
      </c>
      <c r="L79" s="76">
        <f t="shared" si="17"/>
        <v>58679733.98960227</v>
      </c>
      <c r="M79" s="73">
        <f t="shared" si="18"/>
        <v>2411032.5119126216</v>
      </c>
      <c r="N79" s="73">
        <f t="shared" si="19"/>
        <v>299283.66509092145</v>
      </c>
      <c r="O79" s="74">
        <f t="shared" si="20"/>
        <v>2710316.177003543</v>
      </c>
    </row>
    <row r="80" spans="1:15" ht="12.75">
      <c r="A80" s="4">
        <f t="shared" si="11"/>
        <v>46116</v>
      </c>
      <c r="B80" s="9">
        <f>IF(DIAS365('CALCULADORA TIPS Pesos N-20'!$E$6,A80)&lt;0,0,DIAS365('CALCULADORA TIPS Pesos N-20'!$E$6,A80))</f>
        <v>1338</v>
      </c>
      <c r="C80" s="5">
        <f>+HLOOKUP('CALCULADORA TIPS Pesos N-20'!$E$4,Tablas!$B$1:$C$181,Flujos!J80+1,FALSE)</f>
        <v>0.00830977</v>
      </c>
      <c r="D80" s="14">
        <f t="shared" si="13"/>
        <v>19.830071</v>
      </c>
      <c r="E80" s="15">
        <f t="shared" si="14"/>
        <v>0.830977</v>
      </c>
      <c r="F80" s="15">
        <f>ROUND(D79*ROUND(((1+'CALCULADORA TIPS Pesos N-20'!$C$14)^(1/12)-1),6),6)</f>
        <v>0.101218</v>
      </c>
      <c r="G80" s="15">
        <f t="shared" si="15"/>
        <v>0.932195</v>
      </c>
      <c r="H80" s="22">
        <f>IF($B80=0,0,G80/POWER(1+'CALCULADORA TIPS Pesos N-20'!$F$11,Flujos!$B80/365))</f>
        <v>0.7518670615868372</v>
      </c>
      <c r="I80" s="23">
        <f t="shared" si="12"/>
        <v>46116</v>
      </c>
      <c r="J80" s="20">
        <v>78</v>
      </c>
      <c r="K80" s="12">
        <f t="shared" si="16"/>
        <v>2372</v>
      </c>
      <c r="L80" s="76">
        <f t="shared" si="17"/>
        <v>56319664.485311985</v>
      </c>
      <c r="M80" s="73">
        <f t="shared" si="18"/>
        <v>2360069.5042902865</v>
      </c>
      <c r="N80" s="73">
        <f t="shared" si="19"/>
        <v>287472.0168150615</v>
      </c>
      <c r="O80" s="74">
        <f t="shared" si="20"/>
        <v>2647541.521105348</v>
      </c>
    </row>
    <row r="81" spans="1:15" ht="12.75">
      <c r="A81" s="4">
        <f t="shared" si="11"/>
        <v>46146</v>
      </c>
      <c r="B81" s="9">
        <f>IF(DIAS365('CALCULADORA TIPS Pesos N-20'!$E$6,A81)&lt;0,0,DIAS365('CALCULADORA TIPS Pesos N-20'!$E$6,A81))</f>
        <v>1368</v>
      </c>
      <c r="C81" s="5">
        <f>+HLOOKUP('CALCULADORA TIPS Pesos N-20'!$E$4,Tablas!$B$1:$C$181,Flujos!J81+1,FALSE)</f>
        <v>0.00813954</v>
      </c>
      <c r="D81" s="15">
        <f t="shared" si="13"/>
        <v>19.016117</v>
      </c>
      <c r="E81" s="15">
        <f t="shared" si="14"/>
        <v>0.813954</v>
      </c>
      <c r="F81" s="15">
        <f>ROUND(D80*ROUND(((1+'CALCULADORA TIPS Pesos N-20'!$C$14)^(1/12)-1),6),6)</f>
        <v>0.097148</v>
      </c>
      <c r="G81" s="15">
        <f t="shared" si="15"/>
        <v>0.911102</v>
      </c>
      <c r="H81" s="22">
        <f>IF($B81=0,0,G81/POWER(1+'CALCULADORA TIPS Pesos N-20'!$F$11,Flujos!$B81/365))</f>
        <v>0.7313207374737688</v>
      </c>
      <c r="I81" s="23">
        <f t="shared" si="12"/>
        <v>46146</v>
      </c>
      <c r="J81" s="20">
        <v>79</v>
      </c>
      <c r="K81" s="12">
        <f t="shared" si="16"/>
        <v>2402</v>
      </c>
      <c r="L81" s="76">
        <f t="shared" si="17"/>
        <v>54007942.24354705</v>
      </c>
      <c r="M81" s="73">
        <f t="shared" si="18"/>
        <v>2311722.24176493</v>
      </c>
      <c r="N81" s="73">
        <f t="shared" si="19"/>
        <v>275910.0363135434</v>
      </c>
      <c r="O81" s="74">
        <f t="shared" si="20"/>
        <v>2587632.2780784736</v>
      </c>
    </row>
    <row r="82" spans="1:15" ht="12.75">
      <c r="A82" s="4">
        <f t="shared" si="11"/>
        <v>46177</v>
      </c>
      <c r="B82" s="9">
        <f>IF(DIAS365('CALCULADORA TIPS Pesos N-20'!$E$6,A82)&lt;0,0,DIAS365('CALCULADORA TIPS Pesos N-20'!$E$6,A82))</f>
        <v>1399</v>
      </c>
      <c r="C82" s="5">
        <f>+HLOOKUP('CALCULADORA TIPS Pesos N-20'!$E$4,Tablas!$B$1:$C$181,Flujos!J82+1,FALSE)</f>
        <v>0.00797013</v>
      </c>
      <c r="D82" s="14">
        <f t="shared" si="13"/>
        <v>18.219104</v>
      </c>
      <c r="E82" s="15">
        <f t="shared" si="14"/>
        <v>0.797013</v>
      </c>
      <c r="F82" s="15">
        <f>ROUND(D81*ROUND(((1+'CALCULADORA TIPS Pesos N-20'!$C$14)^(1/12)-1),6),6)</f>
        <v>0.09316</v>
      </c>
      <c r="G82" s="15">
        <f t="shared" si="15"/>
        <v>0.890173</v>
      </c>
      <c r="H82" s="22">
        <f>IF($B82=0,0,G82/POWER(1+'CALCULADORA TIPS Pesos N-20'!$F$11,Flujos!$B82/365))</f>
        <v>0.7109713894485329</v>
      </c>
      <c r="I82" s="23">
        <f t="shared" si="12"/>
        <v>46177</v>
      </c>
      <c r="J82" s="20">
        <v>80</v>
      </c>
      <c r="K82" s="12">
        <f t="shared" si="16"/>
        <v>2433</v>
      </c>
      <c r="L82" s="76">
        <f t="shared" si="17"/>
        <v>51744334.37495031</v>
      </c>
      <c r="M82" s="73">
        <f t="shared" si="18"/>
        <v>2263607.8685967415</v>
      </c>
      <c r="N82" s="73">
        <f t="shared" si="19"/>
        <v>264584.909051137</v>
      </c>
      <c r="O82" s="74">
        <f t="shared" si="20"/>
        <v>2528192.7776478785</v>
      </c>
    </row>
    <row r="83" spans="1:15" ht="12.75">
      <c r="A83" s="4">
        <f t="shared" si="11"/>
        <v>46207</v>
      </c>
      <c r="B83" s="9">
        <f>IF(DIAS365('CALCULADORA TIPS Pesos N-20'!$E$6,A83)&lt;0,0,DIAS365('CALCULADORA TIPS Pesos N-20'!$E$6,A83))</f>
        <v>1429</v>
      </c>
      <c r="C83" s="5">
        <f>+HLOOKUP('CALCULADORA TIPS Pesos N-20'!$E$4,Tablas!$B$1:$C$181,Flujos!J83+1,FALSE)</f>
        <v>0.00779279</v>
      </c>
      <c r="D83" s="14">
        <f t="shared" si="13"/>
        <v>17.439825</v>
      </c>
      <c r="E83" s="15">
        <f t="shared" si="14"/>
        <v>0.779279</v>
      </c>
      <c r="F83" s="15">
        <f>ROUND(D82*ROUND(((1+'CALCULADORA TIPS Pesos N-20'!$C$14)^(1/12)-1),6),6)</f>
        <v>0.089255</v>
      </c>
      <c r="G83" s="15">
        <f t="shared" si="15"/>
        <v>0.868534</v>
      </c>
      <c r="H83" s="22">
        <f>IF($B83=0,0,G83/POWER(1+'CALCULADORA TIPS Pesos N-20'!$F$11,Flujos!$B83/365))</f>
        <v>0.690352861870587</v>
      </c>
      <c r="I83" s="23">
        <f t="shared" si="12"/>
        <v>46207</v>
      </c>
      <c r="J83" s="20">
        <v>81</v>
      </c>
      <c r="K83" s="12">
        <f t="shared" si="16"/>
        <v>2463</v>
      </c>
      <c r="L83" s="76">
        <f t="shared" si="17"/>
        <v>49531093.09001242</v>
      </c>
      <c r="M83" s="73">
        <f t="shared" si="18"/>
        <v>2213241.284937887</v>
      </c>
      <c r="N83" s="73">
        <f t="shared" si="19"/>
        <v>253495.49410288155</v>
      </c>
      <c r="O83" s="74">
        <f t="shared" si="20"/>
        <v>2466736.7790407687</v>
      </c>
    </row>
    <row r="84" spans="1:15" ht="12.75">
      <c r="A84" s="4">
        <f t="shared" si="11"/>
        <v>46238</v>
      </c>
      <c r="B84" s="9">
        <f>IF(DIAS365('CALCULADORA TIPS Pesos N-20'!$E$6,A84)&lt;0,0,DIAS365('CALCULADORA TIPS Pesos N-20'!$E$6,A84))</f>
        <v>1460</v>
      </c>
      <c r="C84" s="5">
        <f>+HLOOKUP('CALCULADORA TIPS Pesos N-20'!$E$4,Tablas!$B$1:$C$181,Flujos!J84+1,FALSE)</f>
        <v>0.0076138</v>
      </c>
      <c r="D84" s="14">
        <f t="shared" si="13"/>
        <v>16.678445</v>
      </c>
      <c r="E84" s="15">
        <f t="shared" si="14"/>
        <v>0.76138</v>
      </c>
      <c r="F84" s="15">
        <f>ROUND(D83*ROUND(((1+'CALCULADORA TIPS Pesos N-20'!$C$14)^(1/12)-1),6),6)</f>
        <v>0.085438</v>
      </c>
      <c r="G84" s="15">
        <f t="shared" si="15"/>
        <v>0.846818</v>
      </c>
      <c r="H84" s="22">
        <f>IF($B84=0,0,G84/POWER(1+'CALCULADORA TIPS Pesos N-20'!$F$11,Flujos!$B84/365))</f>
        <v>0.6697476594784482</v>
      </c>
      <c r="I84" s="23">
        <f t="shared" si="12"/>
        <v>46238</v>
      </c>
      <c r="J84" s="20">
        <v>82</v>
      </c>
      <c r="K84" s="12">
        <f t="shared" si="16"/>
        <v>2494</v>
      </c>
      <c r="L84" s="76">
        <f t="shared" si="17"/>
        <v>47368687.00756184</v>
      </c>
      <c r="M84" s="73">
        <f t="shared" si="18"/>
        <v>2162406.0824505836</v>
      </c>
      <c r="N84" s="73">
        <f t="shared" si="19"/>
        <v>242652.82504797084</v>
      </c>
      <c r="O84" s="74">
        <f t="shared" si="20"/>
        <v>2405058.9074985543</v>
      </c>
    </row>
    <row r="85" spans="1:15" ht="12.75">
      <c r="A85" s="4">
        <f t="shared" si="11"/>
        <v>46269</v>
      </c>
      <c r="B85" s="9">
        <f>IF(DIAS365('CALCULADORA TIPS Pesos N-20'!$E$6,A85)&lt;0,0,DIAS365('CALCULADORA TIPS Pesos N-20'!$E$6,A85))</f>
        <v>1491</v>
      </c>
      <c r="C85" s="5">
        <f>+HLOOKUP('CALCULADORA TIPS Pesos N-20'!$E$4,Tablas!$B$1:$C$181,Flujos!J85+1,FALSE)</f>
        <v>0.00743419</v>
      </c>
      <c r="D85" s="14">
        <f t="shared" si="13"/>
        <v>15.935026</v>
      </c>
      <c r="E85" s="15">
        <f t="shared" si="14"/>
        <v>0.743419</v>
      </c>
      <c r="F85" s="15">
        <f>ROUND(D84*ROUND(((1+'CALCULADORA TIPS Pesos N-20'!$C$14)^(1/12)-1),6),6)</f>
        <v>0.081708</v>
      </c>
      <c r="G85" s="15">
        <f t="shared" si="15"/>
        <v>0.825127</v>
      </c>
      <c r="H85" s="22">
        <f>IF($B85=0,0,G85/POWER(1+'CALCULADORA TIPS Pesos N-20'!$F$11,Flujos!$B85/365))</f>
        <v>0.6493498440554041</v>
      </c>
      <c r="I85" s="23">
        <f t="shared" si="12"/>
        <v>46269</v>
      </c>
      <c r="J85" s="20">
        <v>83</v>
      </c>
      <c r="K85" s="12">
        <f t="shared" si="16"/>
        <v>2525</v>
      </c>
      <c r="L85" s="76">
        <f t="shared" si="17"/>
        <v>45257292.21467349</v>
      </c>
      <c r="M85" s="73">
        <f t="shared" si="18"/>
        <v>2111394.792888348</v>
      </c>
      <c r="N85" s="73">
        <f t="shared" si="19"/>
        <v>232059.19765004545</v>
      </c>
      <c r="O85" s="74">
        <f t="shared" si="20"/>
        <v>2343453.9905383936</v>
      </c>
    </row>
    <row r="86" spans="1:15" ht="12.75">
      <c r="A86" s="4">
        <f t="shared" si="11"/>
        <v>46299</v>
      </c>
      <c r="B86" s="9">
        <f>IF(DIAS365('CALCULADORA TIPS Pesos N-20'!$E$6,A86)&lt;0,0,DIAS365('CALCULADORA TIPS Pesos N-20'!$E$6,A86))</f>
        <v>1521</v>
      </c>
      <c r="C86" s="5">
        <f>+HLOOKUP('CALCULADORA TIPS Pesos N-20'!$E$4,Tablas!$B$1:$C$181,Flujos!J86+1,FALSE)</f>
        <v>0.00694332</v>
      </c>
      <c r="D86" s="14">
        <f t="shared" si="13"/>
        <v>15.240694</v>
      </c>
      <c r="E86" s="15">
        <f t="shared" si="14"/>
        <v>0.694332</v>
      </c>
      <c r="F86" s="15">
        <f>ROUND(D85*ROUND(((1+'CALCULADORA TIPS Pesos N-20'!$C$14)^(1/12)-1),6),6)</f>
        <v>0.078066</v>
      </c>
      <c r="G86" s="15">
        <f t="shared" si="15"/>
        <v>0.7723979999999999</v>
      </c>
      <c r="H86" s="22">
        <f>IF($B86=0,0,G86/POWER(1+'CALCULADORA TIPS Pesos N-20'!$F$11,Flujos!$B86/365))</f>
        <v>0.6049307777230308</v>
      </c>
      <c r="I86" s="23">
        <f t="shared" si="12"/>
        <v>46299</v>
      </c>
      <c r="J86" s="20">
        <v>84</v>
      </c>
      <c r="K86" s="12">
        <f t="shared" si="16"/>
        <v>2555</v>
      </c>
      <c r="L86" s="76">
        <f t="shared" si="17"/>
        <v>43285310.1031916</v>
      </c>
      <c r="M86" s="73">
        <f t="shared" si="18"/>
        <v>1971982.1114818864</v>
      </c>
      <c r="N86" s="73">
        <f t="shared" si="19"/>
        <v>221715.47455968542</v>
      </c>
      <c r="O86" s="74">
        <f t="shared" si="20"/>
        <v>2193697.5860415716</v>
      </c>
    </row>
    <row r="87" spans="1:15" ht="12.75">
      <c r="A87" s="4">
        <f t="shared" si="11"/>
        <v>46330</v>
      </c>
      <c r="B87" s="9">
        <f>IF(DIAS365('CALCULADORA TIPS Pesos N-20'!$E$6,A87)&lt;0,0,DIAS365('CALCULADORA TIPS Pesos N-20'!$E$6,A87))</f>
        <v>1552</v>
      </c>
      <c r="C87" s="5">
        <f>+HLOOKUP('CALCULADORA TIPS Pesos N-20'!$E$4,Tablas!$B$1:$C$181,Flujos!J87+1,FALSE)</f>
        <v>0.00710642</v>
      </c>
      <c r="D87" s="14">
        <f t="shared" si="13"/>
        <v>14.530052</v>
      </c>
      <c r="E87" s="15">
        <f t="shared" si="14"/>
        <v>0.710642</v>
      </c>
      <c r="F87" s="15">
        <f>ROUND(D86*ROUND(((1+'CALCULADORA TIPS Pesos N-20'!$C$14)^(1/12)-1),6),6)</f>
        <v>0.074664</v>
      </c>
      <c r="G87" s="15">
        <f t="shared" si="15"/>
        <v>0.785306</v>
      </c>
      <c r="H87" s="22">
        <f>IF($B87=0,0,G87/POWER(1+'CALCULADORA TIPS Pesos N-20'!$F$11,Flujos!$B87/365))</f>
        <v>0.6119842912395728</v>
      </c>
      <c r="I87" s="23">
        <f t="shared" si="12"/>
        <v>46330</v>
      </c>
      <c r="J87" s="20">
        <v>85</v>
      </c>
      <c r="K87" s="12">
        <f t="shared" si="16"/>
        <v>2586</v>
      </c>
      <c r="L87" s="76">
        <f t="shared" si="17"/>
        <v>41267005.73054608</v>
      </c>
      <c r="M87" s="73">
        <f t="shared" si="18"/>
        <v>2018304.3726455218</v>
      </c>
      <c r="N87" s="73">
        <f t="shared" si="19"/>
        <v>212054.73419553562</v>
      </c>
      <c r="O87" s="74">
        <f t="shared" si="20"/>
        <v>2230359.1068410575</v>
      </c>
    </row>
    <row r="88" spans="1:15" ht="12.75">
      <c r="A88" s="4">
        <f t="shared" si="11"/>
        <v>46360</v>
      </c>
      <c r="B88" s="9">
        <f>IF(DIAS365('CALCULADORA TIPS Pesos N-20'!$E$6,A88)&lt;0,0,DIAS365('CALCULADORA TIPS Pesos N-20'!$E$6,A88))</f>
        <v>1582</v>
      </c>
      <c r="C88" s="5">
        <f>+HLOOKUP('CALCULADORA TIPS Pesos N-20'!$E$4,Tablas!$B$1:$C$181,Flujos!J88+1,FALSE)</f>
        <v>0.00695514</v>
      </c>
      <c r="D88" s="14">
        <f t="shared" si="13"/>
        <v>13.834538</v>
      </c>
      <c r="E88" s="15">
        <f t="shared" si="14"/>
        <v>0.695514</v>
      </c>
      <c r="F88" s="15">
        <f>ROUND(D87*ROUND(((1+'CALCULADORA TIPS Pesos N-20'!$C$14)^(1/12)-1),6),6)</f>
        <v>0.071183</v>
      </c>
      <c r="G88" s="15">
        <f t="shared" si="15"/>
        <v>0.766697</v>
      </c>
      <c r="H88" s="22">
        <f>IF($B88=0,0,G88/POWER(1+'CALCULADORA TIPS Pesos N-20'!$F$11,Flujos!$B88/365))</f>
        <v>0.594609332563224</v>
      </c>
      <c r="I88" s="23">
        <f t="shared" si="12"/>
        <v>46360</v>
      </c>
      <c r="J88" s="20">
        <v>86</v>
      </c>
      <c r="K88" s="12">
        <f t="shared" si="16"/>
        <v>2616</v>
      </c>
      <c r="L88" s="76">
        <f t="shared" si="17"/>
        <v>39291666.60418403</v>
      </c>
      <c r="M88" s="73">
        <f t="shared" si="18"/>
        <v>1975339.1263620467</v>
      </c>
      <c r="N88" s="73">
        <f t="shared" si="19"/>
        <v>202167.06107394522</v>
      </c>
      <c r="O88" s="74">
        <f t="shared" si="20"/>
        <v>2177506.187435992</v>
      </c>
    </row>
    <row r="89" spans="1:15" ht="12.75">
      <c r="A89" s="4">
        <f t="shared" si="11"/>
        <v>46391</v>
      </c>
      <c r="B89" s="9">
        <f>IF(DIAS365('CALCULADORA TIPS Pesos N-20'!$E$6,A89)&lt;0,0,DIAS365('CALCULADORA TIPS Pesos N-20'!$E$6,A89))</f>
        <v>1613</v>
      </c>
      <c r="C89" s="5">
        <f>+HLOOKUP('CALCULADORA TIPS Pesos N-20'!$E$4,Tablas!$B$1:$C$181,Flujos!J89+1,FALSE)</f>
        <v>0.00679551</v>
      </c>
      <c r="D89" s="14">
        <f t="shared" si="13"/>
        <v>13.154987</v>
      </c>
      <c r="E89" s="15">
        <f t="shared" si="14"/>
        <v>0.679551</v>
      </c>
      <c r="F89" s="15">
        <f>ROUND(D88*ROUND(((1+'CALCULADORA TIPS Pesos N-20'!$C$14)^(1/12)-1),6),6)</f>
        <v>0.067775</v>
      </c>
      <c r="G89" s="15">
        <f t="shared" si="15"/>
        <v>0.747326</v>
      </c>
      <c r="H89" s="22">
        <f>IF($B89=0,0,G89/POWER(1+'CALCULADORA TIPS Pesos N-20'!$F$11,Flujos!$B89/365))</f>
        <v>0.576706528377232</v>
      </c>
      <c r="I89" s="23">
        <f t="shared" si="12"/>
        <v>46391</v>
      </c>
      <c r="J89" s="20">
        <v>87</v>
      </c>
      <c r="K89" s="12">
        <f t="shared" si="16"/>
        <v>2647</v>
      </c>
      <c r="L89" s="76">
        <f t="shared" si="17"/>
        <v>37361664.21938882</v>
      </c>
      <c r="M89" s="73">
        <f t="shared" si="18"/>
        <v>1930002.3847952094</v>
      </c>
      <c r="N89" s="73">
        <f t="shared" si="19"/>
        <v>192489.87469389755</v>
      </c>
      <c r="O89" s="74">
        <f t="shared" si="20"/>
        <v>2122492.259489107</v>
      </c>
    </row>
    <row r="90" spans="1:15" ht="12.75">
      <c r="A90" s="4">
        <f t="shared" si="11"/>
        <v>46422</v>
      </c>
      <c r="B90" s="9">
        <f>IF(DIAS365('CALCULADORA TIPS Pesos N-20'!$E$6,A90)&lt;0,0,DIAS365('CALCULADORA TIPS Pesos N-20'!$E$6,A90))</f>
        <v>1644</v>
      </c>
      <c r="C90" s="5">
        <f>+HLOOKUP('CALCULADORA TIPS Pesos N-20'!$E$4,Tablas!$B$1:$C$181,Flujos!J90+1,FALSE)</f>
        <v>0.00662633</v>
      </c>
      <c r="D90" s="14">
        <f t="shared" si="13"/>
        <v>12.492354</v>
      </c>
      <c r="E90" s="15">
        <f t="shared" si="14"/>
        <v>0.662633</v>
      </c>
      <c r="F90" s="15">
        <f>ROUND(D89*ROUND(((1+'CALCULADORA TIPS Pesos N-20'!$C$14)^(1/12)-1),6),6)</f>
        <v>0.064446</v>
      </c>
      <c r="G90" s="15">
        <f t="shared" si="15"/>
        <v>0.727079</v>
      </c>
      <c r="H90" s="22">
        <f>IF($B90=0,0,G90/POWER(1+'CALCULADORA TIPS Pesos N-20'!$F$11,Flujos!$B90/365))</f>
        <v>0.5582943019376616</v>
      </c>
      <c r="I90" s="23">
        <f t="shared" si="12"/>
        <v>46422</v>
      </c>
      <c r="J90" s="20">
        <v>88</v>
      </c>
      <c r="K90" s="12">
        <f t="shared" si="16"/>
        <v>2678</v>
      </c>
      <c r="L90" s="76">
        <f t="shared" si="17"/>
        <v>35479710.88513723</v>
      </c>
      <c r="M90" s="73">
        <f t="shared" si="18"/>
        <v>1881953.3342515924</v>
      </c>
      <c r="N90" s="73">
        <f t="shared" si="19"/>
        <v>183034.79301078583</v>
      </c>
      <c r="O90" s="74">
        <f t="shared" si="20"/>
        <v>2064988.127262378</v>
      </c>
    </row>
    <row r="91" spans="1:15" ht="12.75">
      <c r="A91" s="4">
        <f t="shared" si="11"/>
        <v>46450</v>
      </c>
      <c r="B91" s="9">
        <f>IF(DIAS365('CALCULADORA TIPS Pesos N-20'!$E$6,A91)&lt;0,0,DIAS365('CALCULADORA TIPS Pesos N-20'!$E$6,A91))</f>
        <v>1672</v>
      </c>
      <c r="C91" s="5">
        <f>+HLOOKUP('CALCULADORA TIPS Pesos N-20'!$E$4,Tablas!$B$1:$C$181,Flujos!J91+1,FALSE)</f>
        <v>0.00647811</v>
      </c>
      <c r="D91" s="14">
        <f t="shared" si="13"/>
        <v>11.844543</v>
      </c>
      <c r="E91" s="15">
        <f t="shared" si="14"/>
        <v>0.647811</v>
      </c>
      <c r="F91" s="15">
        <f>ROUND(D90*ROUND(((1+'CALCULADORA TIPS Pesos N-20'!$C$14)^(1/12)-1),6),6)</f>
        <v>0.0612</v>
      </c>
      <c r="G91" s="15">
        <f t="shared" si="15"/>
        <v>0.7090110000000001</v>
      </c>
      <c r="H91" s="22">
        <f>IF($B91=0,0,G91/POWER(1+'CALCULADORA TIPS Pesos N-20'!$F$11,Flujos!$B91/365))</f>
        <v>0.5419768366872614</v>
      </c>
      <c r="I91" s="23">
        <f t="shared" si="12"/>
        <v>46450</v>
      </c>
      <c r="J91" s="20">
        <v>89</v>
      </c>
      <c r="K91" s="12">
        <f t="shared" si="16"/>
        <v>2706</v>
      </c>
      <c r="L91" s="76">
        <f t="shared" si="17"/>
        <v>33639853.7222509</v>
      </c>
      <c r="M91" s="73">
        <f t="shared" si="18"/>
        <v>1839857.162886331</v>
      </c>
      <c r="N91" s="73">
        <f t="shared" si="19"/>
        <v>173815.10362628728</v>
      </c>
      <c r="O91" s="74">
        <f t="shared" si="20"/>
        <v>2013672.2665126184</v>
      </c>
    </row>
    <row r="92" spans="1:15" ht="12.75">
      <c r="A92" s="4">
        <f t="shared" si="11"/>
        <v>46481</v>
      </c>
      <c r="B92" s="9">
        <f>IF(DIAS365('CALCULADORA TIPS Pesos N-20'!$E$6,A92)&lt;0,0,DIAS365('CALCULADORA TIPS Pesos N-20'!$E$6,A92))</f>
        <v>1703</v>
      </c>
      <c r="C92" s="5">
        <f>+HLOOKUP('CALCULADORA TIPS Pesos N-20'!$E$4,Tablas!$B$1:$C$181,Flujos!J92+1,FALSE)</f>
        <v>0.00632053</v>
      </c>
      <c r="D92" s="14">
        <f t="shared" si="13"/>
        <v>11.21249</v>
      </c>
      <c r="E92" s="15">
        <f t="shared" si="14"/>
        <v>0.632053</v>
      </c>
      <c r="F92" s="15">
        <f>ROUND(D91*ROUND(((1+'CALCULADORA TIPS Pesos N-20'!$C$14)^(1/12)-1),6),6)</f>
        <v>0.058026</v>
      </c>
      <c r="G92" s="15">
        <f t="shared" si="15"/>
        <v>0.690079</v>
      </c>
      <c r="H92" s="22">
        <f>IF($B92=0,0,G92/POWER(1+'CALCULADORA TIPS Pesos N-20'!$F$11,Flujos!$B92/365))</f>
        <v>0.524884058162727</v>
      </c>
      <c r="I92" s="23">
        <f t="shared" si="12"/>
        <v>46481</v>
      </c>
      <c r="J92" s="20">
        <v>90</v>
      </c>
      <c r="K92" s="12">
        <f t="shared" si="16"/>
        <v>2737</v>
      </c>
      <c r="L92" s="76">
        <f t="shared" si="17"/>
        <v>31844751.077538487</v>
      </c>
      <c r="M92" s="73">
        <f t="shared" si="18"/>
        <v>1795102.6447124153</v>
      </c>
      <c r="N92" s="73">
        <f t="shared" si="19"/>
        <v>164801.64338530716</v>
      </c>
      <c r="O92" s="74">
        <f t="shared" si="20"/>
        <v>1959904.2880977225</v>
      </c>
    </row>
    <row r="93" spans="1:15" ht="12.75">
      <c r="A93" s="4">
        <f t="shared" si="11"/>
        <v>46511</v>
      </c>
      <c r="B93" s="9">
        <f>IF(DIAS365('CALCULADORA TIPS Pesos N-20'!$E$6,A93)&lt;0,0,DIAS365('CALCULADORA TIPS Pesos N-20'!$E$6,A93))</f>
        <v>1733</v>
      </c>
      <c r="C93" s="5">
        <f>+HLOOKUP('CALCULADORA TIPS Pesos N-20'!$E$4,Tablas!$B$1:$C$181,Flujos!J93+1,FALSE)</f>
        <v>0.00617936</v>
      </c>
      <c r="D93" s="14">
        <f t="shared" si="13"/>
        <v>10.594554</v>
      </c>
      <c r="E93" s="15">
        <f t="shared" si="14"/>
        <v>0.617936</v>
      </c>
      <c r="F93" s="15">
        <f>ROUND(D92*ROUND(((1+'CALCULADORA TIPS Pesos N-20'!$C$14)^(1/12)-1),6),6)</f>
        <v>0.05493</v>
      </c>
      <c r="G93" s="15">
        <f t="shared" si="15"/>
        <v>0.6728660000000001</v>
      </c>
      <c r="H93" s="22">
        <f>IF($B93=0,0,G93/POWER(1+'CALCULADORA TIPS Pesos N-20'!$F$11,Flujos!$B93/365))</f>
        <v>0.5093305818546893</v>
      </c>
      <c r="I93" s="23">
        <f t="shared" si="12"/>
        <v>46511</v>
      </c>
      <c r="J93" s="20">
        <v>91</v>
      </c>
      <c r="K93" s="12">
        <f t="shared" si="16"/>
        <v>2767</v>
      </c>
      <c r="L93" s="76">
        <f t="shared" si="17"/>
        <v>30089742.323742505</v>
      </c>
      <c r="M93" s="73">
        <f t="shared" si="18"/>
        <v>1755008.7537959807</v>
      </c>
      <c r="N93" s="73">
        <f t="shared" si="19"/>
        <v>156007.43552886104</v>
      </c>
      <c r="O93" s="74">
        <f t="shared" si="20"/>
        <v>1911016.1893248418</v>
      </c>
    </row>
    <row r="94" spans="1:15" ht="12.75">
      <c r="A94" s="4">
        <f t="shared" si="11"/>
        <v>46542</v>
      </c>
      <c r="B94" s="9">
        <f>IF(DIAS365('CALCULADORA TIPS Pesos N-20'!$E$6,A94)&lt;0,0,DIAS365('CALCULADORA TIPS Pesos N-20'!$E$6,A94))</f>
        <v>1764</v>
      </c>
      <c r="C94" s="5">
        <f>+HLOOKUP('CALCULADORA TIPS Pesos N-20'!$E$4,Tablas!$B$1:$C$181,Flujos!J94+1,FALSE)</f>
        <v>0.006042</v>
      </c>
      <c r="D94" s="14">
        <f t="shared" si="13"/>
        <v>9.990354</v>
      </c>
      <c r="E94" s="15">
        <f t="shared" si="14"/>
        <v>0.6042</v>
      </c>
      <c r="F94" s="15">
        <f>ROUND(D93*ROUND(((1+'CALCULADORA TIPS Pesos N-20'!$C$14)^(1/12)-1),6),6)</f>
        <v>0.051903</v>
      </c>
      <c r="G94" s="15">
        <f t="shared" si="15"/>
        <v>0.656103</v>
      </c>
      <c r="H94" s="22">
        <f>IF($B94=0,0,G94/POWER(1+'CALCULADORA TIPS Pesos N-20'!$F$11,Flujos!$B94/365))</f>
        <v>0.4941741357739525</v>
      </c>
      <c r="I94" s="23">
        <f t="shared" si="12"/>
        <v>46542</v>
      </c>
      <c r="J94" s="20">
        <v>92</v>
      </c>
      <c r="K94" s="12">
        <f t="shared" si="16"/>
        <v>2798</v>
      </c>
      <c r="L94" s="76">
        <f t="shared" si="17"/>
        <v>28373745.377386358</v>
      </c>
      <c r="M94" s="73">
        <f t="shared" si="18"/>
        <v>1715996.9463561461</v>
      </c>
      <c r="N94" s="73">
        <f t="shared" si="19"/>
        <v>147409.64764401453</v>
      </c>
      <c r="O94" s="74">
        <f t="shared" si="20"/>
        <v>1863406.5940001607</v>
      </c>
    </row>
    <row r="95" spans="1:15" ht="12.75">
      <c r="A95" s="4">
        <f t="shared" si="11"/>
        <v>46572</v>
      </c>
      <c r="B95" s="9">
        <f>IF(DIAS365('CALCULADORA TIPS Pesos N-20'!$E$6,A95)&lt;0,0,DIAS365('CALCULADORA TIPS Pesos N-20'!$E$6,A95))</f>
        <v>1794</v>
      </c>
      <c r="C95" s="5">
        <f>+HLOOKUP('CALCULADORA TIPS Pesos N-20'!$E$4,Tablas!$B$1:$C$181,Flujos!J95+1,FALSE)</f>
        <v>0.00589679</v>
      </c>
      <c r="D95" s="14">
        <f t="shared" si="13"/>
        <v>9.400675</v>
      </c>
      <c r="E95" s="15">
        <f t="shared" si="14"/>
        <v>0.589679</v>
      </c>
      <c r="F95" s="15">
        <f>ROUND(D94*ROUND(((1+'CALCULADORA TIPS Pesos N-20'!$C$14)^(1/12)-1),6),6)</f>
        <v>0.048943</v>
      </c>
      <c r="G95" s="15">
        <f t="shared" si="15"/>
        <v>0.6386219999999999</v>
      </c>
      <c r="H95" s="22">
        <f>IF($B95=0,0,G95/POWER(1+'CALCULADORA TIPS Pesos N-20'!$F$11,Flujos!$B95/365))</f>
        <v>0.4786945266876954</v>
      </c>
      <c r="I95" s="23">
        <f t="shared" si="12"/>
        <v>46572</v>
      </c>
      <c r="J95" s="20">
        <v>93</v>
      </c>
      <c r="K95" s="12">
        <f t="shared" si="16"/>
        <v>2828</v>
      </c>
      <c r="L95" s="76">
        <f t="shared" si="17"/>
        <v>26698989.728047818</v>
      </c>
      <c r="M95" s="73">
        <f t="shared" si="18"/>
        <v>1674755.64933854</v>
      </c>
      <c r="N95" s="73">
        <f t="shared" si="19"/>
        <v>139002.97860381575</v>
      </c>
      <c r="O95" s="74">
        <f t="shared" si="20"/>
        <v>1813758.6279423556</v>
      </c>
    </row>
    <row r="96" spans="1:15" ht="12.75">
      <c r="A96" s="4">
        <f t="shared" si="11"/>
        <v>46603</v>
      </c>
      <c r="B96" s="9">
        <f>IF(DIAS365('CALCULADORA TIPS Pesos N-20'!$E$6,A96)&lt;0,0,DIAS365('CALCULADORA TIPS Pesos N-20'!$E$6,A96))</f>
        <v>1825</v>
      </c>
      <c r="C96" s="5">
        <f>+HLOOKUP('CALCULADORA TIPS Pesos N-20'!$E$4,Tablas!$B$1:$C$181,Flujos!J96+1,FALSE)</f>
        <v>0.00575707</v>
      </c>
      <c r="D96" s="14">
        <f t="shared" si="13"/>
        <v>8.824968</v>
      </c>
      <c r="E96" s="15">
        <f t="shared" si="14"/>
        <v>0.575707</v>
      </c>
      <c r="F96" s="15">
        <f>ROUND(D95*ROUND(((1+'CALCULADORA TIPS Pesos N-20'!$C$14)^(1/12)-1),6),6)</f>
        <v>0.046054</v>
      </c>
      <c r="G96" s="15">
        <f t="shared" si="15"/>
        <v>0.621761</v>
      </c>
      <c r="H96" s="22">
        <f>IF($B96=0,0,G96/POWER(1+'CALCULADORA TIPS Pesos N-20'!$F$11,Flujos!$B96/365))</f>
        <v>0.46374034642082024</v>
      </c>
      <c r="I96" s="23">
        <f t="shared" si="12"/>
        <v>46603</v>
      </c>
      <c r="J96" s="20">
        <v>94</v>
      </c>
      <c r="K96" s="12">
        <f t="shared" si="16"/>
        <v>2859</v>
      </c>
      <c r="L96" s="76">
        <f t="shared" si="17"/>
        <v>25063916.1530795</v>
      </c>
      <c r="M96" s="73">
        <f t="shared" si="18"/>
        <v>1635073.5749683182</v>
      </c>
      <c r="N96" s="73">
        <f t="shared" si="19"/>
        <v>130798.35067770626</v>
      </c>
      <c r="O96" s="74">
        <f t="shared" si="20"/>
        <v>1765871.9256460245</v>
      </c>
    </row>
    <row r="97" spans="1:15" ht="12.75">
      <c r="A97" s="4">
        <f t="shared" si="11"/>
        <v>46634</v>
      </c>
      <c r="B97" s="9">
        <f>IF(DIAS365('CALCULADORA TIPS Pesos N-20'!$E$6,A97)&lt;0,0,DIAS365('CALCULADORA TIPS Pesos N-20'!$E$6,A97))</f>
        <v>1856</v>
      </c>
      <c r="C97" s="5">
        <f>+HLOOKUP('CALCULADORA TIPS Pesos N-20'!$E$4,Tablas!$B$1:$C$181,Flujos!J97+1,FALSE)</f>
        <v>0.00561718</v>
      </c>
      <c r="D97" s="14">
        <f t="shared" si="13"/>
        <v>8.26325</v>
      </c>
      <c r="E97" s="15">
        <f t="shared" si="14"/>
        <v>0.561718</v>
      </c>
      <c r="F97" s="15">
        <f>ROUND(D96*ROUND(((1+'CALCULADORA TIPS Pesos N-20'!$C$14)^(1/12)-1),6),6)</f>
        <v>0.043234</v>
      </c>
      <c r="G97" s="15">
        <f t="shared" si="15"/>
        <v>0.604952</v>
      </c>
      <c r="H97" s="22">
        <f>IF($B97=0,0,G97/POWER(1+'CALCULADORA TIPS Pesos N-20'!$F$11,Flujos!$B97/365))</f>
        <v>0.4489615409292304</v>
      </c>
      <c r="I97" s="23">
        <f t="shared" si="12"/>
        <v>46634</v>
      </c>
      <c r="J97" s="20">
        <v>95</v>
      </c>
      <c r="K97" s="12">
        <f t="shared" si="16"/>
        <v>2890</v>
      </c>
      <c r="L97" s="76">
        <f t="shared" si="17"/>
        <v>23468572.934421305</v>
      </c>
      <c r="M97" s="73">
        <f t="shared" si="18"/>
        <v>1595343.2186581956</v>
      </c>
      <c r="N97" s="73">
        <f t="shared" si="19"/>
        <v>122788.12523393646</v>
      </c>
      <c r="O97" s="74">
        <f t="shared" si="20"/>
        <v>1718131.343892132</v>
      </c>
    </row>
    <row r="98" spans="1:15" ht="12.75">
      <c r="A98" s="4">
        <f t="shared" si="11"/>
        <v>46664</v>
      </c>
      <c r="B98" s="9">
        <f>IF(DIAS365('CALCULADORA TIPS Pesos N-20'!$E$6,A98)&lt;0,0,DIAS365('CALCULADORA TIPS Pesos N-20'!$E$6,A98))</f>
        <v>1886</v>
      </c>
      <c r="C98" s="5">
        <f>+HLOOKUP('CALCULADORA TIPS Pesos N-20'!$E$4,Tablas!$B$1:$C$181,Flujos!J98+1,FALSE)</f>
        <v>0.00514419</v>
      </c>
      <c r="D98" s="14">
        <f t="shared" si="13"/>
        <v>7.748831</v>
      </c>
      <c r="E98" s="15">
        <f t="shared" si="14"/>
        <v>0.514419</v>
      </c>
      <c r="F98" s="15">
        <f>ROUND(D97*ROUND(((1+'CALCULADORA TIPS Pesos N-20'!$C$14)^(1/12)-1),6),6)</f>
        <v>0.040482</v>
      </c>
      <c r="G98" s="15">
        <f t="shared" si="15"/>
        <v>0.554901</v>
      </c>
      <c r="H98" s="22">
        <f>IF($B98=0,0,G98/POWER(1+'CALCULADORA TIPS Pesos N-20'!$F$11,Flujos!$B98/365))</f>
        <v>0.4098362121417964</v>
      </c>
      <c r="I98" s="23">
        <f t="shared" si="12"/>
        <v>46664</v>
      </c>
      <c r="J98" s="20">
        <v>96</v>
      </c>
      <c r="K98" s="12">
        <f t="shared" si="16"/>
        <v>2920</v>
      </c>
      <c r="L98" s="76">
        <f t="shared" si="17"/>
        <v>22007564.27313765</v>
      </c>
      <c r="M98" s="73">
        <f t="shared" si="18"/>
        <v>1461008.6612836516</v>
      </c>
      <c r="N98" s="73">
        <f t="shared" si="19"/>
        <v>114972.53880572997</v>
      </c>
      <c r="O98" s="74">
        <f t="shared" si="20"/>
        <v>1575981.2000893815</v>
      </c>
    </row>
    <row r="99" spans="1:15" ht="12.75">
      <c r="A99" s="4">
        <f aca="true" t="shared" si="21" ref="A99:A130">_XLL.FECHA.MES(A98,1)</f>
        <v>46695</v>
      </c>
      <c r="B99" s="9">
        <f>IF(DIAS365('CALCULADORA TIPS Pesos N-20'!$E$6,A99)&lt;0,0,DIAS365('CALCULADORA TIPS Pesos N-20'!$E$6,A99))</f>
        <v>1917</v>
      </c>
      <c r="C99" s="5">
        <f>+HLOOKUP('CALCULADORA TIPS Pesos N-20'!$E$4,Tablas!$B$1:$C$181,Flujos!J99+1,FALSE)</f>
        <v>0.00536065</v>
      </c>
      <c r="D99" s="14">
        <f t="shared" si="13"/>
        <v>7.212766</v>
      </c>
      <c r="E99" s="15">
        <f t="shared" si="14"/>
        <v>0.536065</v>
      </c>
      <c r="F99" s="15">
        <f>ROUND(D98*ROUND(((1+'CALCULADORA TIPS Pesos N-20'!$C$14)^(1/12)-1),6),6)</f>
        <v>0.037962</v>
      </c>
      <c r="G99" s="15">
        <f t="shared" si="15"/>
        <v>0.5740270000000001</v>
      </c>
      <c r="H99" s="22">
        <f>IF($B99=0,0,G99/POWER(1+'CALCULADORA TIPS Pesos N-20'!$F$11,Flujos!$B99/365))</f>
        <v>0.4218557376319688</v>
      </c>
      <c r="I99" s="23">
        <f t="shared" si="12"/>
        <v>46695</v>
      </c>
      <c r="J99" s="20">
        <v>97</v>
      </c>
      <c r="K99" s="12">
        <f t="shared" si="16"/>
        <v>2951</v>
      </c>
      <c r="L99" s="76">
        <f t="shared" si="17"/>
        <v>20485078.50178974</v>
      </c>
      <c r="M99" s="73">
        <f t="shared" si="18"/>
        <v>1522485.7713479104</v>
      </c>
      <c r="N99" s="73">
        <f t="shared" si="19"/>
        <v>107815.05737410135</v>
      </c>
      <c r="O99" s="74">
        <f t="shared" si="20"/>
        <v>1630300.8287220118</v>
      </c>
    </row>
    <row r="100" spans="1:15" ht="12.75">
      <c r="A100" s="4">
        <f t="shared" si="21"/>
        <v>46725</v>
      </c>
      <c r="B100" s="9">
        <f>IF(DIAS365('CALCULADORA TIPS Pesos N-20'!$E$6,A100)&lt;0,0,DIAS365('CALCULADORA TIPS Pesos N-20'!$E$6,A100))</f>
        <v>1947</v>
      </c>
      <c r="C100" s="5">
        <f>+HLOOKUP('CALCULADORA TIPS Pesos N-20'!$E$4,Tablas!$B$1:$C$181,Flujos!J100+1,FALSE)</f>
        <v>0.00523655</v>
      </c>
      <c r="D100" s="14">
        <f t="shared" si="13"/>
        <v>6.689111</v>
      </c>
      <c r="E100" s="15">
        <f t="shared" si="14"/>
        <v>0.523655</v>
      </c>
      <c r="F100" s="15">
        <f>ROUND(D99*ROUND(((1+'CALCULADORA TIPS Pesos N-20'!$C$14)^(1/12)-1),6),6)</f>
        <v>0.035335</v>
      </c>
      <c r="G100" s="15">
        <f t="shared" si="15"/>
        <v>0.55899</v>
      </c>
      <c r="H100" s="22">
        <f>IF($B100=0,0,G100/POWER(1+'CALCULADORA TIPS Pesos N-20'!$F$11,Flujos!$B100/365))</f>
        <v>0.4088295482627265</v>
      </c>
      <c r="I100" s="23">
        <f t="shared" si="12"/>
        <v>46725</v>
      </c>
      <c r="J100" s="20">
        <v>98</v>
      </c>
      <c r="K100" s="12">
        <f t="shared" si="16"/>
        <v>2981</v>
      </c>
      <c r="L100" s="76">
        <f t="shared" si="17"/>
        <v>18997838.546569403</v>
      </c>
      <c r="M100" s="73">
        <f t="shared" si="18"/>
        <v>1487239.9552203373</v>
      </c>
      <c r="N100" s="73">
        <f t="shared" si="19"/>
        <v>100356.39958026794</v>
      </c>
      <c r="O100" s="74">
        <f t="shared" si="20"/>
        <v>1587596.3548006052</v>
      </c>
    </row>
    <row r="101" spans="1:15" ht="12.75">
      <c r="A101" s="4">
        <f t="shared" si="21"/>
        <v>46756</v>
      </c>
      <c r="B101" s="9">
        <f>IF(DIAS365('CALCULADORA TIPS Pesos N-20'!$E$6,A101)&lt;0,0,DIAS365('CALCULADORA TIPS Pesos N-20'!$E$6,A101))</f>
        <v>1978</v>
      </c>
      <c r="C101" s="5">
        <f>+HLOOKUP('CALCULADORA TIPS Pesos N-20'!$E$4,Tablas!$B$1:$C$181,Flujos!J101+1,FALSE)</f>
        <v>0.00511281</v>
      </c>
      <c r="D101" s="14">
        <f t="shared" si="13"/>
        <v>6.17783</v>
      </c>
      <c r="E101" s="15">
        <f t="shared" si="14"/>
        <v>0.511281</v>
      </c>
      <c r="F101" s="15">
        <f>ROUND(D100*ROUND(((1+'CALCULADORA TIPS Pesos N-20'!$C$14)^(1/12)-1),6),6)</f>
        <v>0.03277</v>
      </c>
      <c r="G101" s="15">
        <f t="shared" si="15"/>
        <v>0.544051</v>
      </c>
      <c r="H101" s="22">
        <f>IF($B101=0,0,G101/POWER(1+'CALCULADORA TIPS Pesos N-20'!$F$11,Flujos!$B101/365))</f>
        <v>0.39592659011357184</v>
      </c>
      <c r="I101" s="23">
        <f t="shared" si="12"/>
        <v>46756</v>
      </c>
      <c r="J101" s="20">
        <v>99</v>
      </c>
      <c r="K101" s="12">
        <f t="shared" si="16"/>
        <v>3012</v>
      </c>
      <c r="L101" s="76">
        <f t="shared" si="17"/>
        <v>17545742.163368613</v>
      </c>
      <c r="M101" s="73">
        <f t="shared" si="18"/>
        <v>1452096.3832007889</v>
      </c>
      <c r="N101" s="73">
        <f t="shared" si="19"/>
        <v>93070.4110396435</v>
      </c>
      <c r="O101" s="74">
        <f t="shared" si="20"/>
        <v>1545166.7942404323</v>
      </c>
    </row>
    <row r="102" spans="1:15" ht="12.75">
      <c r="A102" s="4">
        <f t="shared" si="21"/>
        <v>46787</v>
      </c>
      <c r="B102" s="9">
        <f>IF(DIAS365('CALCULADORA TIPS Pesos N-20'!$E$6,A102)&lt;0,0,DIAS365('CALCULADORA TIPS Pesos N-20'!$E$6,A102))</f>
        <v>2009</v>
      </c>
      <c r="C102" s="5">
        <f>+HLOOKUP('CALCULADORA TIPS Pesos N-20'!$E$4,Tablas!$B$1:$C$181,Flujos!J102+1,FALSE)</f>
        <v>0.00497496</v>
      </c>
      <c r="D102" s="14">
        <f t="shared" si="13"/>
        <v>5.680334</v>
      </c>
      <c r="E102" s="15">
        <f t="shared" si="14"/>
        <v>0.497496</v>
      </c>
      <c r="F102" s="15">
        <f>ROUND(D101*ROUND(((1+'CALCULADORA TIPS Pesos N-20'!$C$14)^(1/12)-1),6),6)</f>
        <v>0.030265</v>
      </c>
      <c r="G102" s="15">
        <f t="shared" si="15"/>
        <v>0.527761</v>
      </c>
      <c r="H102" s="22">
        <f>IF($B102=0,0,G102/POWER(1+'CALCULADORA TIPS Pesos N-20'!$F$11,Flujos!$B102/365))</f>
        <v>0.3821634677316348</v>
      </c>
      <c r="I102" s="23">
        <f t="shared" si="12"/>
        <v>46787</v>
      </c>
      <c r="J102" s="20">
        <v>100</v>
      </c>
      <c r="K102" s="12">
        <f t="shared" si="16"/>
        <v>3043</v>
      </c>
      <c r="L102" s="76">
        <f t="shared" si="17"/>
        <v>16132796.753199138</v>
      </c>
      <c r="M102" s="73">
        <f t="shared" si="18"/>
        <v>1412945.4101694757</v>
      </c>
      <c r="N102" s="73">
        <f t="shared" si="19"/>
        <v>85956.59085834282</v>
      </c>
      <c r="O102" s="74">
        <f t="shared" si="20"/>
        <v>1498902.0010278185</v>
      </c>
    </row>
    <row r="103" spans="1:15" ht="12.75">
      <c r="A103" s="4">
        <f t="shared" si="21"/>
        <v>46816</v>
      </c>
      <c r="B103" s="9">
        <f>IF(DIAS365('CALCULADORA TIPS Pesos N-20'!$E$6,A103)&lt;0,0,DIAS365('CALCULADORA TIPS Pesos N-20'!$E$6,A103))</f>
        <v>2037</v>
      </c>
      <c r="C103" s="5">
        <f>+HLOOKUP('CALCULADORA TIPS Pesos N-20'!$E$4,Tablas!$B$1:$C$181,Flujos!J103+1,FALSE)</f>
        <v>0.00484534</v>
      </c>
      <c r="D103" s="14">
        <f t="shared" si="13"/>
        <v>5.1958</v>
      </c>
      <c r="E103" s="15">
        <f t="shared" si="14"/>
        <v>0.484534</v>
      </c>
      <c r="F103" s="15">
        <f>ROUND(D102*ROUND(((1+'CALCULADORA TIPS Pesos N-20'!$C$14)^(1/12)-1),6),6)</f>
        <v>0.027828</v>
      </c>
      <c r="G103" s="15">
        <f t="shared" si="15"/>
        <v>0.512362</v>
      </c>
      <c r="H103" s="22">
        <f>IF($B103=0,0,G103/POWER(1+'CALCULADORA TIPS Pesos N-20'!$F$11,Flujos!$B103/365))</f>
        <v>0.36934731469448556</v>
      </c>
      <c r="I103" s="23">
        <f t="shared" si="12"/>
        <v>46816</v>
      </c>
      <c r="J103" s="20">
        <v>101</v>
      </c>
      <c r="K103" s="12">
        <f t="shared" si="16"/>
        <v>3071</v>
      </c>
      <c r="L103" s="76">
        <f t="shared" si="17"/>
        <v>14756664.902146954</v>
      </c>
      <c r="M103" s="73">
        <f t="shared" si="18"/>
        <v>1376131.851052183</v>
      </c>
      <c r="N103" s="73">
        <f t="shared" si="19"/>
        <v>79034.57129392258</v>
      </c>
      <c r="O103" s="74">
        <f t="shared" si="20"/>
        <v>1455166.4223461056</v>
      </c>
    </row>
    <row r="104" spans="1:15" ht="12.75">
      <c r="A104" s="4">
        <f t="shared" si="21"/>
        <v>46847</v>
      </c>
      <c r="B104" s="9">
        <f>IF(DIAS365('CALCULADORA TIPS Pesos N-20'!$E$6,A104)&lt;0,0,DIAS365('CALCULADORA TIPS Pesos N-20'!$E$6,A104))</f>
        <v>2068</v>
      </c>
      <c r="C104" s="5">
        <f>+HLOOKUP('CALCULADORA TIPS Pesos N-20'!$E$4,Tablas!$B$1:$C$181,Flujos!J104+1,FALSE)</f>
        <v>0.00472278</v>
      </c>
      <c r="D104" s="14">
        <f t="shared" si="13"/>
        <v>4.723522</v>
      </c>
      <c r="E104" s="15">
        <f t="shared" si="14"/>
        <v>0.472278</v>
      </c>
      <c r="F104" s="15">
        <f>ROUND(D103*ROUND(((1+'CALCULADORA TIPS Pesos N-20'!$C$14)^(1/12)-1),6),6)</f>
        <v>0.025454</v>
      </c>
      <c r="G104" s="15">
        <f t="shared" si="15"/>
        <v>0.49773199999999995</v>
      </c>
      <c r="H104" s="22">
        <f>IF($B104=0,0,G104/POWER(1+'CALCULADORA TIPS Pesos N-20'!$F$11,Flujos!$B104/365))</f>
        <v>0.35701824857934067</v>
      </c>
      <c r="I104" s="23">
        <f t="shared" si="12"/>
        <v>46847</v>
      </c>
      <c r="J104" s="20">
        <v>102</v>
      </c>
      <c r="K104" s="12">
        <f t="shared" si="16"/>
        <v>3102</v>
      </c>
      <c r="L104" s="76">
        <f t="shared" si="17"/>
        <v>13415341.489649126</v>
      </c>
      <c r="M104" s="73">
        <f t="shared" si="18"/>
        <v>1341323.4124978285</v>
      </c>
      <c r="N104" s="73">
        <f t="shared" si="19"/>
        <v>72292.90135561793</v>
      </c>
      <c r="O104" s="74">
        <f t="shared" si="20"/>
        <v>1413616.3138534464</v>
      </c>
    </row>
    <row r="105" spans="1:15" ht="12.75">
      <c r="A105" s="4">
        <f t="shared" si="21"/>
        <v>46877</v>
      </c>
      <c r="B105" s="9">
        <f>IF(DIAS365('CALCULADORA TIPS Pesos N-20'!$E$6,A105)&lt;0,0,DIAS365('CALCULADORA TIPS Pesos N-20'!$E$6,A105))</f>
        <v>2098</v>
      </c>
      <c r="C105" s="5">
        <f>+HLOOKUP('CALCULADORA TIPS Pesos N-20'!$E$4,Tablas!$B$1:$C$181,Flujos!J105+1,FALSE)</f>
        <v>0.00460271</v>
      </c>
      <c r="D105" s="14">
        <f t="shared" si="13"/>
        <v>4.263251</v>
      </c>
      <c r="E105" s="15">
        <f t="shared" si="14"/>
        <v>0.460271</v>
      </c>
      <c r="F105" s="15">
        <f>ROUND(D104*ROUND(((1+'CALCULADORA TIPS Pesos N-20'!$C$14)^(1/12)-1),6),6)</f>
        <v>0.023141</v>
      </c>
      <c r="G105" s="15">
        <f t="shared" si="15"/>
        <v>0.483412</v>
      </c>
      <c r="H105" s="22">
        <f>IF($B105=0,0,G105/POWER(1+'CALCULADORA TIPS Pesos N-20'!$F$11,Flujos!$B105/365))</f>
        <v>0.34507927535273536</v>
      </c>
      <c r="I105" s="23">
        <f t="shared" si="12"/>
        <v>46877</v>
      </c>
      <c r="J105" s="20">
        <v>103</v>
      </c>
      <c r="K105" s="12">
        <f t="shared" si="16"/>
        <v>3132</v>
      </c>
      <c r="L105" s="76">
        <f t="shared" si="17"/>
        <v>12108119.32729181</v>
      </c>
      <c r="M105" s="73">
        <f t="shared" si="18"/>
        <v>1307222.1623573152</v>
      </c>
      <c r="N105" s="73">
        <f t="shared" si="19"/>
        <v>65721.75795779107</v>
      </c>
      <c r="O105" s="74">
        <f t="shared" si="20"/>
        <v>1372943.9203151062</v>
      </c>
    </row>
    <row r="106" spans="1:15" ht="12.75">
      <c r="A106" s="4">
        <f t="shared" si="21"/>
        <v>46908</v>
      </c>
      <c r="B106" s="9">
        <f>IF(DIAS365('CALCULADORA TIPS Pesos N-20'!$E$6,A106)&lt;0,0,DIAS365('CALCULADORA TIPS Pesos N-20'!$E$6,A106))</f>
        <v>2129</v>
      </c>
      <c r="C106" s="5">
        <f>+HLOOKUP('CALCULADORA TIPS Pesos N-20'!$E$4,Tablas!$B$1:$C$181,Flujos!J106+1,FALSE)</f>
        <v>0.00448882</v>
      </c>
      <c r="D106" s="14">
        <f t="shared" si="13"/>
        <v>3.814369</v>
      </c>
      <c r="E106" s="15">
        <f t="shared" si="14"/>
        <v>0.448882</v>
      </c>
      <c r="F106" s="15">
        <f>ROUND(D105*ROUND(((1+'CALCULADORA TIPS Pesos N-20'!$C$14)^(1/12)-1),6),6)</f>
        <v>0.020886</v>
      </c>
      <c r="G106" s="15">
        <f t="shared" si="15"/>
        <v>0.469768</v>
      </c>
      <c r="H106" s="22">
        <f>IF($B106=0,0,G106/POWER(1+'CALCULADORA TIPS Pesos N-20'!$F$11,Flujos!$B106/365))</f>
        <v>0.3336734860690247</v>
      </c>
      <c r="I106" s="23">
        <f t="shared" si="12"/>
        <v>46908</v>
      </c>
      <c r="J106" s="20">
        <v>104</v>
      </c>
      <c r="K106" s="12">
        <f t="shared" si="16"/>
        <v>3163</v>
      </c>
      <c r="L106" s="76">
        <f t="shared" si="17"/>
        <v>10833243.22455391</v>
      </c>
      <c r="M106" s="73">
        <f t="shared" si="18"/>
        <v>1274876.1027379008</v>
      </c>
      <c r="N106" s="73">
        <f t="shared" si="19"/>
        <v>59317.67658440258</v>
      </c>
      <c r="O106" s="74">
        <f t="shared" si="20"/>
        <v>1334193.7793223034</v>
      </c>
    </row>
    <row r="107" spans="1:15" ht="12.75">
      <c r="A107" s="4">
        <f t="shared" si="21"/>
        <v>46938</v>
      </c>
      <c r="B107" s="9">
        <f>IF(DIAS365('CALCULADORA TIPS Pesos N-20'!$E$6,A107)&lt;0,0,DIAS365('CALCULADORA TIPS Pesos N-20'!$E$6,A107))</f>
        <v>2159</v>
      </c>
      <c r="C107" s="5">
        <f>+HLOOKUP('CALCULADORA TIPS Pesos N-20'!$E$4,Tablas!$B$1:$C$181,Flujos!J107+1,FALSE)</f>
        <v>0.00436648</v>
      </c>
      <c r="D107" s="14">
        <f t="shared" si="13"/>
        <v>3.377721</v>
      </c>
      <c r="E107" s="15">
        <f t="shared" si="14"/>
        <v>0.436648</v>
      </c>
      <c r="F107" s="15">
        <f>ROUND(D106*ROUND(((1+'CALCULADORA TIPS Pesos N-20'!$C$14)^(1/12)-1),6),6)</f>
        <v>0.018687</v>
      </c>
      <c r="G107" s="15">
        <f t="shared" si="15"/>
        <v>0.455335</v>
      </c>
      <c r="H107" s="22">
        <f>IF($B107=0,0,G107/POWER(1+'CALCULADORA TIPS Pesos N-20'!$F$11,Flujos!$B107/365))</f>
        <v>0.3218665919342255</v>
      </c>
      <c r="I107" s="23">
        <f t="shared" si="12"/>
        <v>46938</v>
      </c>
      <c r="J107" s="20">
        <v>105</v>
      </c>
      <c r="K107" s="12">
        <f t="shared" si="16"/>
        <v>3193</v>
      </c>
      <c r="L107" s="76">
        <f t="shared" si="17"/>
        <v>9593113.077859903</v>
      </c>
      <c r="M107" s="73">
        <f t="shared" si="18"/>
        <v>1240130.1466940062</v>
      </c>
      <c r="N107" s="73">
        <f t="shared" si="19"/>
        <v>53072.0585570896</v>
      </c>
      <c r="O107" s="74">
        <f t="shared" si="20"/>
        <v>1293202.2052510958</v>
      </c>
    </row>
    <row r="108" spans="1:15" ht="12.75">
      <c r="A108" s="4">
        <f t="shared" si="21"/>
        <v>46969</v>
      </c>
      <c r="B108" s="9">
        <f>IF(DIAS365('CALCULADORA TIPS Pesos N-20'!$E$6,A108)&lt;0,0,DIAS365('CALCULADORA TIPS Pesos N-20'!$E$6,A108))</f>
        <v>2190</v>
      </c>
      <c r="C108" s="5">
        <f>+HLOOKUP('CALCULADORA TIPS Pesos N-20'!$E$4,Tablas!$B$1:$C$181,Flujos!J108+1,FALSE)</f>
        <v>0.00426019</v>
      </c>
      <c r="D108" s="14">
        <f t="shared" si="13"/>
        <v>2.951702</v>
      </c>
      <c r="E108" s="15">
        <f t="shared" si="14"/>
        <v>0.426019</v>
      </c>
      <c r="F108" s="15">
        <f>ROUND(D107*ROUND(((1+'CALCULADORA TIPS Pesos N-20'!$C$14)^(1/12)-1),6),6)</f>
        <v>0.016547</v>
      </c>
      <c r="G108" s="15">
        <f t="shared" si="15"/>
        <v>0.44256599999999996</v>
      </c>
      <c r="H108" s="22">
        <f>IF($B108=0,0,G108/POWER(1+'CALCULADORA TIPS Pesos N-20'!$F$11,Flujos!$B108/365))</f>
        <v>0.3112861025783137</v>
      </c>
      <c r="I108" s="23">
        <f t="shared" si="12"/>
        <v>46969</v>
      </c>
      <c r="J108" s="20">
        <v>106</v>
      </c>
      <c r="K108" s="12">
        <f t="shared" si="16"/>
        <v>3224</v>
      </c>
      <c r="L108" s="76">
        <f t="shared" si="17"/>
        <v>8383170.5040603345</v>
      </c>
      <c r="M108" s="73">
        <f t="shared" si="18"/>
        <v>1209942.573799568</v>
      </c>
      <c r="N108" s="73">
        <f t="shared" si="19"/>
        <v>46996.66096843566</v>
      </c>
      <c r="O108" s="74">
        <f t="shared" si="20"/>
        <v>1256939.2347680037</v>
      </c>
    </row>
    <row r="109" spans="1:15" ht="12.75">
      <c r="A109" s="4">
        <f t="shared" si="21"/>
        <v>47000</v>
      </c>
      <c r="B109" s="9">
        <f>IF(DIAS365('CALCULADORA TIPS Pesos N-20'!$E$6,A109)&lt;0,0,DIAS365('CALCULADORA TIPS Pesos N-20'!$E$6,A109))</f>
        <v>2221</v>
      </c>
      <c r="C109" s="5">
        <f>+HLOOKUP('CALCULADORA TIPS Pesos N-20'!$E$4,Tablas!$B$1:$C$181,Flujos!J109+1,FALSE)</f>
        <v>0.00415251</v>
      </c>
      <c r="D109" s="14">
        <f t="shared" si="13"/>
        <v>2.536451</v>
      </c>
      <c r="E109" s="15">
        <f t="shared" si="14"/>
        <v>0.415251</v>
      </c>
      <c r="F109" s="15">
        <f>ROUND(D108*ROUND(((1+'CALCULADORA TIPS Pesos N-20'!$C$14)^(1/12)-1),6),6)</f>
        <v>0.01446</v>
      </c>
      <c r="G109" s="15">
        <f t="shared" si="15"/>
        <v>0.42971099999999995</v>
      </c>
      <c r="H109" s="22">
        <f>IF($B109=0,0,G109/POWER(1+'CALCULADORA TIPS Pesos N-20'!$F$11,Flujos!$B109/365))</f>
        <v>0.30074261743248876</v>
      </c>
      <c r="I109" s="23">
        <f t="shared" si="12"/>
        <v>47000</v>
      </c>
      <c r="J109" s="20">
        <v>107</v>
      </c>
      <c r="K109" s="12">
        <f t="shared" si="16"/>
        <v>3255</v>
      </c>
      <c r="L109" s="76">
        <f t="shared" si="17"/>
        <v>7203810.279016746</v>
      </c>
      <c r="M109" s="73">
        <f t="shared" si="18"/>
        <v>1179360.2250435883</v>
      </c>
      <c r="N109" s="73">
        <f t="shared" si="19"/>
        <v>41069.15229939158</v>
      </c>
      <c r="O109" s="74">
        <f t="shared" si="20"/>
        <v>1220429.37734298</v>
      </c>
    </row>
    <row r="110" spans="1:15" ht="12.75">
      <c r="A110" s="4">
        <f t="shared" si="21"/>
        <v>47030</v>
      </c>
      <c r="B110" s="9">
        <f>IF(DIAS365('CALCULADORA TIPS Pesos N-20'!$E$6,A110)&lt;0,0,DIAS365('CALCULADORA TIPS Pesos N-20'!$E$6,A110))</f>
        <v>2251</v>
      </c>
      <c r="C110" s="5">
        <f>+HLOOKUP('CALCULADORA TIPS Pesos N-20'!$E$4,Tablas!$B$1:$C$181,Flujos!J110+1,FALSE)</f>
        <v>0.00369488</v>
      </c>
      <c r="D110" s="14">
        <f t="shared" si="13"/>
        <v>2.166963</v>
      </c>
      <c r="E110" s="15">
        <f t="shared" si="14"/>
        <v>0.369488</v>
      </c>
      <c r="F110" s="15">
        <f>ROUND(D109*ROUND(((1+'CALCULADORA TIPS Pesos N-20'!$C$14)^(1/12)-1),6),6)</f>
        <v>0.012426</v>
      </c>
      <c r="G110" s="15">
        <f t="shared" si="15"/>
        <v>0.381914</v>
      </c>
      <c r="H110" s="22">
        <f>IF($B110=0,0,G110/POWER(1+'CALCULADORA TIPS Pesos N-20'!$F$11,Flujos!$B110/365))</f>
        <v>0.26600553977435903</v>
      </c>
      <c r="I110" s="23">
        <f t="shared" si="12"/>
        <v>47030</v>
      </c>
      <c r="J110" s="20">
        <v>108</v>
      </c>
      <c r="K110" s="12">
        <f t="shared" si="16"/>
        <v>3285</v>
      </c>
      <c r="L110" s="76">
        <f t="shared" si="17"/>
        <v>6154422.19607196</v>
      </c>
      <c r="M110" s="73">
        <f t="shared" si="18"/>
        <v>1049388.0829447862</v>
      </c>
      <c r="N110" s="73">
        <f t="shared" si="19"/>
        <v>35291.46655690304</v>
      </c>
      <c r="O110" s="74">
        <f t="shared" si="20"/>
        <v>1084679.5495016892</v>
      </c>
    </row>
    <row r="111" spans="1:15" ht="12.75">
      <c r="A111" s="4">
        <f t="shared" si="21"/>
        <v>47061</v>
      </c>
      <c r="B111" s="9">
        <f>IF(DIAS365('CALCULADORA TIPS Pesos N-20'!$E$6,A111)&lt;0,0,DIAS365('CALCULADORA TIPS Pesos N-20'!$E$6,A111))</f>
        <v>2282</v>
      </c>
      <c r="C111" s="5">
        <f>+HLOOKUP('CALCULADORA TIPS Pesos N-20'!$E$4,Tablas!$B$1:$C$181,Flujos!J111+1,FALSE)</f>
        <v>0.00396062</v>
      </c>
      <c r="D111" s="14">
        <f t="shared" si="13"/>
        <v>1.770901</v>
      </c>
      <c r="E111" s="15">
        <f t="shared" si="14"/>
        <v>0.396062</v>
      </c>
      <c r="F111" s="15">
        <f>ROUND(D110*ROUND(((1+'CALCULADORA TIPS Pesos N-20'!$C$14)^(1/12)-1),6),6)</f>
        <v>0.010616</v>
      </c>
      <c r="G111" s="15">
        <f t="shared" si="15"/>
        <v>0.40667800000000004</v>
      </c>
      <c r="H111" s="22">
        <f>IF($B111=0,0,G111/POWER(1+'CALCULADORA TIPS Pesos N-20'!$F$11,Flujos!$B111/365))</f>
        <v>0.28184647003691243</v>
      </c>
      <c r="I111" s="23">
        <f t="shared" si="12"/>
        <v>47061</v>
      </c>
      <c r="J111" s="20">
        <v>109</v>
      </c>
      <c r="K111" s="12">
        <f t="shared" si="16"/>
        <v>3316</v>
      </c>
      <c r="L111" s="76">
        <f t="shared" si="17"/>
        <v>5029560.920719911</v>
      </c>
      <c r="M111" s="73">
        <f t="shared" si="18"/>
        <v>1124861.275352049</v>
      </c>
      <c r="N111" s="73">
        <f t="shared" si="19"/>
        <v>30150.51433855653</v>
      </c>
      <c r="O111" s="74">
        <f t="shared" si="20"/>
        <v>1155011.7896906054</v>
      </c>
    </row>
    <row r="112" spans="1:15" ht="12.75">
      <c r="A112" s="4">
        <f t="shared" si="21"/>
        <v>47091</v>
      </c>
      <c r="B112" s="9">
        <f>IF(DIAS365('CALCULADORA TIPS Pesos N-20'!$E$6,A112)&lt;0,0,DIAS365('CALCULADORA TIPS Pesos N-20'!$E$6,A112))</f>
        <v>2312</v>
      </c>
      <c r="C112" s="5">
        <f>+HLOOKUP('CALCULADORA TIPS Pesos N-20'!$E$4,Tablas!$B$1:$C$181,Flujos!J112+1,FALSE)</f>
        <v>0.00386554</v>
      </c>
      <c r="D112" s="14">
        <f t="shared" si="13"/>
        <v>1.384347</v>
      </c>
      <c r="E112" s="15">
        <f t="shared" si="14"/>
        <v>0.386554</v>
      </c>
      <c r="F112" s="15">
        <f>ROUND(D111*ROUND(((1+'CALCULADORA TIPS Pesos N-20'!$C$14)^(1/12)-1),6),6)</f>
        <v>0.008676</v>
      </c>
      <c r="G112" s="15">
        <f t="shared" si="15"/>
        <v>0.39523</v>
      </c>
      <c r="H112" s="22">
        <f>IF($B112=0,0,G112/POWER(1+'CALCULADORA TIPS Pesos N-20'!$F$11,Flujos!$B112/365))</f>
        <v>0.27259533642218386</v>
      </c>
      <c r="I112" s="23">
        <f t="shared" si="12"/>
        <v>47091</v>
      </c>
      <c r="J112" s="20">
        <v>110</v>
      </c>
      <c r="K112" s="12">
        <f t="shared" si="16"/>
        <v>3346</v>
      </c>
      <c r="L112" s="76">
        <f t="shared" si="17"/>
        <v>3931703.4503429607</v>
      </c>
      <c r="M112" s="73">
        <f t="shared" si="18"/>
        <v>1097857.470376951</v>
      </c>
      <c r="N112" s="73">
        <f t="shared" si="19"/>
        <v>24639.818950606845</v>
      </c>
      <c r="O112" s="74">
        <f t="shared" si="20"/>
        <v>1122497.2893275577</v>
      </c>
    </row>
    <row r="113" spans="1:15" ht="12.75">
      <c r="A113" s="4">
        <f t="shared" si="21"/>
        <v>47122</v>
      </c>
      <c r="B113" s="9">
        <f>IF(DIAS365('CALCULADORA TIPS Pesos N-20'!$E$6,A113)&lt;0,0,DIAS365('CALCULADORA TIPS Pesos N-20'!$E$6,A113))</f>
        <v>2343</v>
      </c>
      <c r="C113" s="5">
        <f>+HLOOKUP('CALCULADORA TIPS Pesos N-20'!$E$4,Tablas!$B$1:$C$181,Flujos!J113+1,FALSE)</f>
        <v>0.00376503</v>
      </c>
      <c r="D113" s="14">
        <f t="shared" si="13"/>
        <v>1.007844</v>
      </c>
      <c r="E113" s="15">
        <f t="shared" si="14"/>
        <v>0.376503</v>
      </c>
      <c r="F113" s="15">
        <f>ROUND(D112*ROUND(((1+'CALCULADORA TIPS Pesos N-20'!$C$14)^(1/12)-1),6),6)</f>
        <v>0.006782</v>
      </c>
      <c r="G113" s="15">
        <f t="shared" si="15"/>
        <v>0.383285</v>
      </c>
      <c r="H113" s="22">
        <f>IF($B113=0,0,G113/POWER(1+'CALCULADORA TIPS Pesos N-20'!$F$11,Flujos!$B113/365))</f>
        <v>0.263043249508249</v>
      </c>
      <c r="I113" s="23">
        <f t="shared" si="12"/>
        <v>47122</v>
      </c>
      <c r="J113" s="20">
        <v>111</v>
      </c>
      <c r="K113" s="12">
        <f t="shared" si="16"/>
        <v>3377</v>
      </c>
      <c r="L113" s="76">
        <f t="shared" si="17"/>
        <v>2862391.966903821</v>
      </c>
      <c r="M113" s="73">
        <f t="shared" si="18"/>
        <v>1069311.4834391396</v>
      </c>
      <c r="N113" s="73">
        <f t="shared" si="19"/>
        <v>19261.415203230164</v>
      </c>
      <c r="O113" s="74">
        <f t="shared" si="20"/>
        <v>1088572.8986423698</v>
      </c>
    </row>
    <row r="114" spans="1:15" ht="12.75">
      <c r="A114" s="4">
        <f t="shared" si="21"/>
        <v>47153</v>
      </c>
      <c r="B114" s="9">
        <f>IF(DIAS365('CALCULADORA TIPS Pesos N-20'!$E$6,A114)&lt;0,0,DIAS365('CALCULADORA TIPS Pesos N-20'!$E$6,A114))</f>
        <v>2374</v>
      </c>
      <c r="C114" s="5">
        <f>+HLOOKUP('CALCULADORA TIPS Pesos N-20'!$E$4,Tablas!$B$1:$C$181,Flujos!J114+1,FALSE)</f>
        <v>0.00367426</v>
      </c>
      <c r="D114" s="14">
        <f t="shared" si="13"/>
        <v>0.640418</v>
      </c>
      <c r="E114" s="15">
        <f t="shared" si="14"/>
        <v>0.367426</v>
      </c>
      <c r="F114" s="15">
        <f>ROUND(D113*ROUND(((1+'CALCULADORA TIPS Pesos N-20'!$C$14)^(1/12)-1),6),6)</f>
        <v>0.004937</v>
      </c>
      <c r="G114" s="15">
        <f t="shared" si="15"/>
        <v>0.372363</v>
      </c>
      <c r="H114" s="22">
        <f>IF($B114=0,0,G114/POWER(1+'CALCULADORA TIPS Pesos N-20'!$F$11,Flujos!$B114/365))</f>
        <v>0.25427793545619903</v>
      </c>
      <c r="I114" s="23">
        <f t="shared" si="12"/>
        <v>47153</v>
      </c>
      <c r="J114" s="20">
        <v>112</v>
      </c>
      <c r="K114" s="12">
        <f t="shared" si="16"/>
        <v>3408</v>
      </c>
      <c r="L114" s="76">
        <f t="shared" si="17"/>
        <v>1818860.1992575892</v>
      </c>
      <c r="M114" s="73">
        <f t="shared" si="18"/>
        <v>1043531.7676462319</v>
      </c>
      <c r="N114" s="73">
        <f t="shared" si="19"/>
        <v>14022.858245861818</v>
      </c>
      <c r="O114" s="74">
        <f t="shared" si="20"/>
        <v>1057554.6258920936</v>
      </c>
    </row>
    <row r="115" spans="1:15" ht="12.75">
      <c r="A115" s="4">
        <f t="shared" si="21"/>
        <v>47181</v>
      </c>
      <c r="B115" s="9">
        <f>IF(DIAS365('CALCULADORA TIPS Pesos N-20'!$E$6,A115)&lt;0,0,DIAS365('CALCULADORA TIPS Pesos N-20'!$E$6,A115))</f>
        <v>2402</v>
      </c>
      <c r="C115" s="5">
        <f>+HLOOKUP('CALCULADORA TIPS Pesos N-20'!$E$4,Tablas!$B$1:$C$181,Flujos!J115+1,FALSE)</f>
        <v>0.00358145</v>
      </c>
      <c r="D115" s="14">
        <f t="shared" si="13"/>
        <v>0.282273</v>
      </c>
      <c r="E115" s="15">
        <f t="shared" si="14"/>
        <v>0.358145</v>
      </c>
      <c r="F115" s="15">
        <f>ROUND(D114*ROUND(((1+'CALCULADORA TIPS Pesos N-20'!$C$14)^(1/12)-1),6),6)</f>
        <v>0.003137</v>
      </c>
      <c r="G115" s="15">
        <f t="shared" si="15"/>
        <v>0.361282</v>
      </c>
      <c r="H115" s="22">
        <f>IF($B115=0,0,G115/POWER(1+'CALCULADORA TIPS Pesos N-20'!$F$11,Flujos!$B115/365))</f>
        <v>0.24560354949717922</v>
      </c>
      <c r="I115" s="23">
        <f t="shared" si="12"/>
        <v>47181</v>
      </c>
      <c r="J115" s="20">
        <v>113</v>
      </c>
      <c r="K115" s="12">
        <f t="shared" si="16"/>
        <v>3436</v>
      </c>
      <c r="L115" s="76">
        <f t="shared" si="17"/>
        <v>801687.5306830743</v>
      </c>
      <c r="M115" s="73">
        <f t="shared" si="18"/>
        <v>1017172.6685745149</v>
      </c>
      <c r="N115" s="73">
        <f t="shared" si="19"/>
        <v>8910.59611616293</v>
      </c>
      <c r="O115" s="74">
        <f t="shared" si="20"/>
        <v>1026083.2646906779</v>
      </c>
    </row>
    <row r="116" spans="1:15" ht="12.75">
      <c r="A116" s="4">
        <f t="shared" si="21"/>
        <v>47212</v>
      </c>
      <c r="B116" s="9">
        <f>IF(DIAS365('CALCULADORA TIPS Pesos N-20'!$E$6,A116)&lt;0,0,DIAS365('CALCULADORA TIPS Pesos N-20'!$E$6,A116))</f>
        <v>2433</v>
      </c>
      <c r="C116" s="5">
        <f>+HLOOKUP('CALCULADORA TIPS Pesos N-20'!$E$4,Tablas!$B$1:$C$181,Flujos!J116+1,FALSE)</f>
        <v>0.00282273</v>
      </c>
      <c r="D116" s="14">
        <f t="shared" si="13"/>
        <v>0</v>
      </c>
      <c r="E116" s="15">
        <f t="shared" si="14"/>
        <v>0.282273</v>
      </c>
      <c r="F116" s="15">
        <f>ROUND(D115*ROUND(((1+'CALCULADORA TIPS Pesos N-20'!$C$14)^(1/12)-1),6),6)</f>
        <v>0.001383</v>
      </c>
      <c r="G116" s="15">
        <f t="shared" si="15"/>
        <v>0.283656</v>
      </c>
      <c r="H116" s="22">
        <f>IF($B116=0,0,G116/POWER(1+'CALCULADORA TIPS Pesos N-20'!$F$11,Flujos!$B116/365))</f>
        <v>0.19187443204848237</v>
      </c>
      <c r="I116" s="23">
        <f t="shared" si="12"/>
        <v>47212</v>
      </c>
      <c r="J116" s="20">
        <v>114</v>
      </c>
      <c r="K116" s="12">
        <f t="shared" si="16"/>
        <v>3467</v>
      </c>
      <c r="L116" s="76">
        <f t="shared" si="17"/>
        <v>-1.2398231774568558E-07</v>
      </c>
      <c r="M116" s="73">
        <f t="shared" si="18"/>
        <v>801687.5306831982</v>
      </c>
      <c r="N116" s="73">
        <f t="shared" si="19"/>
        <v>3927.4672128163807</v>
      </c>
      <c r="O116" s="74">
        <f t="shared" si="20"/>
        <v>805614.9978960146</v>
      </c>
    </row>
    <row r="117" spans="1:15" ht="12.75">
      <c r="A117" s="4">
        <f t="shared" si="21"/>
        <v>47242</v>
      </c>
      <c r="B117" s="9">
        <f>IF(DIAS365('CALCULADORA TIPS Pesos N-20'!$E$6,A117)&lt;0,0,DIAS365('CALCULADORA TIPS Pesos N-20'!$E$6,A117))</f>
        <v>2463</v>
      </c>
      <c r="C117" s="5">
        <f>+HLOOKUP('CALCULADORA TIPS Pesos N-20'!$E$4,Tablas!$B$1:$C$181,Flujos!J117+1,FALSE)</f>
        <v>0</v>
      </c>
      <c r="D117" s="14">
        <f t="shared" si="13"/>
        <v>0</v>
      </c>
      <c r="E117" s="15">
        <f t="shared" si="14"/>
        <v>0</v>
      </c>
      <c r="F117" s="15">
        <f>ROUND(D116*ROUND(((1+'CALCULADORA TIPS Pesos N-20'!$C$14)^(1/12)-1),6),6)</f>
        <v>0</v>
      </c>
      <c r="G117" s="15">
        <f t="shared" si="15"/>
        <v>0</v>
      </c>
      <c r="H117" s="22">
        <f>IF($B117=0,0,G117/POWER(1+'CALCULADORA TIPS Pesos N-20'!$F$11,Flujos!$B117/365))</f>
        <v>0</v>
      </c>
      <c r="I117" s="23">
        <f t="shared" si="12"/>
        <v>47242</v>
      </c>
      <c r="J117" s="20">
        <v>115</v>
      </c>
      <c r="K117" s="12">
        <f t="shared" si="16"/>
        <v>3497</v>
      </c>
      <c r="L117" s="76">
        <f t="shared" si="17"/>
        <v>-1.2398231774568558E-07</v>
      </c>
      <c r="M117" s="73">
        <f t="shared" si="18"/>
        <v>0</v>
      </c>
      <c r="N117" s="73">
        <f t="shared" si="19"/>
        <v>-6.073893746361136E-10</v>
      </c>
      <c r="O117" s="74">
        <f t="shared" si="20"/>
        <v>-6.073893746361136E-10</v>
      </c>
    </row>
    <row r="118" spans="1:15" ht="12.75">
      <c r="A118" s="4">
        <f t="shared" si="21"/>
        <v>47273</v>
      </c>
      <c r="B118" s="9">
        <f>IF(DIAS365('CALCULADORA TIPS Pesos N-20'!$E$6,A118)&lt;0,0,DIAS365('CALCULADORA TIPS Pesos N-20'!$E$6,A118))</f>
        <v>2494</v>
      </c>
      <c r="C118" s="5">
        <f>+HLOOKUP('CALCULADORA TIPS Pesos N-20'!$E$4,Tablas!$B$1:$C$181,Flujos!J118+1,FALSE)</f>
        <v>0</v>
      </c>
      <c r="D118" s="14">
        <f t="shared" si="13"/>
        <v>0</v>
      </c>
      <c r="E118" s="15">
        <f t="shared" si="14"/>
        <v>0</v>
      </c>
      <c r="F118" s="15">
        <f>ROUND(D117*ROUND(((1+'CALCULADORA TIPS Pesos N-20'!$C$14)^(1/12)-1),6),6)</f>
        <v>0</v>
      </c>
      <c r="G118" s="15">
        <f t="shared" si="15"/>
        <v>0</v>
      </c>
      <c r="H118" s="22">
        <f>IF($B118=0,0,G118/POWER(1+'CALCULADORA TIPS Pesos N-20'!$F$11,Flujos!$B118/365))</f>
        <v>0</v>
      </c>
      <c r="I118" s="23">
        <f t="shared" si="12"/>
        <v>47273</v>
      </c>
      <c r="J118" s="20">
        <v>116</v>
      </c>
      <c r="K118" s="12">
        <f t="shared" si="16"/>
        <v>3528</v>
      </c>
      <c r="L118" s="76">
        <f t="shared" si="17"/>
        <v>-1.2398231774568558E-07</v>
      </c>
      <c r="M118" s="73">
        <f t="shared" si="18"/>
        <v>0</v>
      </c>
      <c r="N118" s="73">
        <f t="shared" si="19"/>
        <v>-6.073893746361136E-10</v>
      </c>
      <c r="O118" s="74">
        <f t="shared" si="20"/>
        <v>-6.073893746361136E-10</v>
      </c>
    </row>
    <row r="119" spans="1:15" ht="12.75">
      <c r="A119" s="4">
        <f t="shared" si="21"/>
        <v>47303</v>
      </c>
      <c r="B119" s="9">
        <f>IF(DIAS365('CALCULADORA TIPS Pesos N-20'!$E$6,A119)&lt;0,0,DIAS365('CALCULADORA TIPS Pesos N-20'!$E$6,A119))</f>
        <v>2524</v>
      </c>
      <c r="C119" s="5">
        <f>+HLOOKUP('CALCULADORA TIPS Pesos N-20'!$E$4,Tablas!$B$1:$C$181,Flujos!J119+1,FALSE)</f>
        <v>0</v>
      </c>
      <c r="D119" s="14">
        <f t="shared" si="13"/>
        <v>0</v>
      </c>
      <c r="E119" s="15">
        <f t="shared" si="14"/>
        <v>0</v>
      </c>
      <c r="F119" s="15">
        <f>ROUND(D118*ROUND(((1+'CALCULADORA TIPS Pesos N-20'!$C$14)^(1/12)-1),6),6)</f>
        <v>0</v>
      </c>
      <c r="G119" s="15">
        <f t="shared" si="15"/>
        <v>0</v>
      </c>
      <c r="H119" s="22">
        <f>IF($B119=0,0,G119/POWER(1+'CALCULADORA TIPS Pesos N-20'!$F$11,Flujos!$B119/365))</f>
        <v>0</v>
      </c>
      <c r="I119" s="23">
        <f t="shared" si="12"/>
        <v>47303</v>
      </c>
      <c r="J119" s="20">
        <v>117</v>
      </c>
      <c r="K119" s="12">
        <f t="shared" si="16"/>
        <v>3558</v>
      </c>
      <c r="L119" s="76">
        <f t="shared" si="17"/>
        <v>-1.2398231774568558E-07</v>
      </c>
      <c r="M119" s="73">
        <f t="shared" si="18"/>
        <v>0</v>
      </c>
      <c r="N119" s="73">
        <f t="shared" si="19"/>
        <v>-6.073893746361136E-10</v>
      </c>
      <c r="O119" s="74">
        <f t="shared" si="20"/>
        <v>-6.073893746361136E-10</v>
      </c>
    </row>
    <row r="120" spans="1:15" ht="12.75">
      <c r="A120" s="4">
        <f t="shared" si="21"/>
        <v>47334</v>
      </c>
      <c r="B120" s="9">
        <f>IF(DIAS365('CALCULADORA TIPS Pesos N-20'!$E$6,A120)&lt;0,0,DIAS365('CALCULADORA TIPS Pesos N-20'!$E$6,A120))</f>
        <v>2555</v>
      </c>
      <c r="C120" s="5">
        <f>+HLOOKUP('CALCULADORA TIPS Pesos N-20'!$E$4,Tablas!$B$1:$C$181,Flujos!J120+1,FALSE)</f>
        <v>0</v>
      </c>
      <c r="D120" s="14">
        <f t="shared" si="13"/>
        <v>0</v>
      </c>
      <c r="E120" s="15">
        <f t="shared" si="14"/>
        <v>0</v>
      </c>
      <c r="F120" s="15">
        <f>ROUND(D119*ROUND(((1+'CALCULADORA TIPS Pesos N-20'!$C$14)^(1/12)-1),6),6)</f>
        <v>0</v>
      </c>
      <c r="G120" s="15">
        <f t="shared" si="15"/>
        <v>0</v>
      </c>
      <c r="H120" s="22">
        <f>IF($B120=0,0,G120/POWER(1+'CALCULADORA TIPS Pesos N-20'!$F$11,Flujos!$B120/365))</f>
        <v>0</v>
      </c>
      <c r="I120" s="23">
        <f t="shared" si="12"/>
        <v>47334</v>
      </c>
      <c r="J120" s="20">
        <v>118</v>
      </c>
      <c r="K120" s="12">
        <f t="shared" si="16"/>
        <v>3589</v>
      </c>
      <c r="L120" s="76">
        <f t="shared" si="17"/>
        <v>-1.2398231774568558E-07</v>
      </c>
      <c r="M120" s="73">
        <f t="shared" si="18"/>
        <v>0</v>
      </c>
      <c r="N120" s="73">
        <f t="shared" si="19"/>
        <v>-6.073893746361136E-10</v>
      </c>
      <c r="O120" s="74">
        <f t="shared" si="20"/>
        <v>-6.073893746361136E-10</v>
      </c>
    </row>
    <row r="121" spans="1:15" ht="12.75">
      <c r="A121" s="4">
        <f t="shared" si="21"/>
        <v>47365</v>
      </c>
      <c r="B121" s="9">
        <f>IF(DIAS365('CALCULADORA TIPS Pesos N-20'!$E$6,A121)&lt;0,0,DIAS365('CALCULADORA TIPS Pesos N-20'!$E$6,A121))</f>
        <v>2586</v>
      </c>
      <c r="C121" s="5">
        <f>+HLOOKUP('CALCULADORA TIPS Pesos N-20'!$E$4,Tablas!$B$1:$C$181,Flujos!J121+1,FALSE)</f>
        <v>0</v>
      </c>
      <c r="D121" s="14">
        <f t="shared" si="13"/>
        <v>0</v>
      </c>
      <c r="E121" s="15">
        <f t="shared" si="14"/>
        <v>0</v>
      </c>
      <c r="F121" s="15">
        <f>ROUND(D120*ROUND(((1+'CALCULADORA TIPS Pesos N-20'!$C$14)^(1/12)-1),6),6)</f>
        <v>0</v>
      </c>
      <c r="G121" s="15">
        <f t="shared" si="15"/>
        <v>0</v>
      </c>
      <c r="H121" s="22">
        <f>IF($B121=0,0,G121/POWER(1+'CALCULADORA TIPS Pesos N-20'!$F$11,Flujos!$B121/365))</f>
        <v>0</v>
      </c>
      <c r="I121" s="23">
        <f t="shared" si="12"/>
        <v>47365</v>
      </c>
      <c r="J121" s="20">
        <v>119</v>
      </c>
      <c r="K121" s="12">
        <f t="shared" si="16"/>
        <v>3620</v>
      </c>
      <c r="L121" s="76">
        <f t="shared" si="17"/>
        <v>-1.2398231774568558E-07</v>
      </c>
      <c r="M121" s="73">
        <f t="shared" si="18"/>
        <v>0</v>
      </c>
      <c r="N121" s="73">
        <f t="shared" si="19"/>
        <v>-6.073893746361136E-10</v>
      </c>
      <c r="O121" s="74">
        <f t="shared" si="20"/>
        <v>-6.073893746361136E-10</v>
      </c>
    </row>
    <row r="122" spans="1:15" ht="12.75">
      <c r="A122" s="4">
        <f t="shared" si="21"/>
        <v>47395</v>
      </c>
      <c r="B122" s="9">
        <f>IF(DIAS365('CALCULADORA TIPS Pesos N-20'!$E$6,A122)&lt;0,0,DIAS365('CALCULADORA TIPS Pesos N-20'!$E$6,A122))</f>
        <v>2616</v>
      </c>
      <c r="C122" s="5">
        <f>+HLOOKUP('CALCULADORA TIPS Pesos N-20'!$E$4,Tablas!$B$1:$C$181,Flujos!J122+1,FALSE)</f>
        <v>0</v>
      </c>
      <c r="D122" s="14">
        <f t="shared" si="13"/>
        <v>0</v>
      </c>
      <c r="E122" s="15">
        <f t="shared" si="14"/>
        <v>0</v>
      </c>
      <c r="F122" s="15">
        <f>ROUND(D121*ROUND(((1+'CALCULADORA TIPS Pesos N-20'!$C$14)^(1/12)-1),6),6)</f>
        <v>0</v>
      </c>
      <c r="G122" s="15">
        <f t="shared" si="15"/>
        <v>0</v>
      </c>
      <c r="H122" s="22">
        <f>IF($B122=0,0,G122/POWER(1+'CALCULADORA TIPS Pesos N-20'!$F$11,Flujos!$B122/365))</f>
        <v>0</v>
      </c>
      <c r="I122" s="23">
        <f t="shared" si="12"/>
        <v>47395</v>
      </c>
      <c r="J122" s="20">
        <v>120</v>
      </c>
      <c r="K122" s="12">
        <f t="shared" si="16"/>
        <v>3650</v>
      </c>
      <c r="L122" s="76">
        <f t="shared" si="17"/>
        <v>-1.2398231774568558E-07</v>
      </c>
      <c r="M122" s="73">
        <f t="shared" si="18"/>
        <v>0</v>
      </c>
      <c r="N122" s="73">
        <f t="shared" si="19"/>
        <v>-6.073893746361136E-10</v>
      </c>
      <c r="O122" s="74">
        <f t="shared" si="20"/>
        <v>-6.073893746361136E-10</v>
      </c>
    </row>
    <row r="123" spans="1:15" ht="12.75">
      <c r="A123" s="4">
        <f t="shared" si="21"/>
        <v>47426</v>
      </c>
      <c r="B123" s="9">
        <f>IF(DIAS365('CALCULADORA TIPS Pesos N-20'!$E$6,A123)&lt;0,0,DIAS365('CALCULADORA TIPS Pesos N-20'!$E$6,A123))</f>
        <v>2647</v>
      </c>
      <c r="C123" s="5">
        <f>+HLOOKUP('CALCULADORA TIPS Pesos N-20'!$E$4,Tablas!$B$1:$C$181,Flujos!J123+1,FALSE)</f>
        <v>0</v>
      </c>
      <c r="D123" s="14">
        <f t="shared" si="13"/>
        <v>0</v>
      </c>
      <c r="E123" s="15">
        <f t="shared" si="14"/>
        <v>0</v>
      </c>
      <c r="F123" s="15">
        <f>ROUND(D122*ROUND(((1+'CALCULADORA TIPS Pesos N-20'!$C$14)^(1/12)-1),6),6)</f>
        <v>0</v>
      </c>
      <c r="G123" s="15">
        <f t="shared" si="15"/>
        <v>0</v>
      </c>
      <c r="H123" s="22">
        <f>IF($B123=0,0,G123/POWER(1+'CALCULADORA TIPS Pesos N-20'!$F$11,Flujos!$B123/365))</f>
        <v>0</v>
      </c>
      <c r="I123" s="23">
        <f t="shared" si="12"/>
        <v>47426</v>
      </c>
      <c r="J123" s="20">
        <v>121</v>
      </c>
      <c r="K123" s="12">
        <f t="shared" si="16"/>
        <v>3681</v>
      </c>
      <c r="L123" s="76">
        <f t="shared" si="17"/>
        <v>-1.2398231774568558E-07</v>
      </c>
      <c r="M123" s="73">
        <f t="shared" si="18"/>
        <v>0</v>
      </c>
      <c r="N123" s="73">
        <f t="shared" si="19"/>
        <v>-6.073893746361136E-10</v>
      </c>
      <c r="O123" s="74">
        <f t="shared" si="20"/>
        <v>-6.073893746361136E-10</v>
      </c>
    </row>
    <row r="124" spans="1:15" ht="12.75">
      <c r="A124" s="4">
        <f t="shared" si="21"/>
        <v>47456</v>
      </c>
      <c r="B124" s="9">
        <f>IF(DIAS365('CALCULADORA TIPS Pesos N-20'!$E$6,A124)&lt;0,0,DIAS365('CALCULADORA TIPS Pesos N-20'!$E$6,A124))</f>
        <v>2677</v>
      </c>
      <c r="C124" s="5">
        <f>+HLOOKUP('CALCULADORA TIPS Pesos N-20'!$E$4,Tablas!$B$1:$C$181,Flujos!J124+1,FALSE)</f>
        <v>0</v>
      </c>
      <c r="D124" s="14">
        <f t="shared" si="13"/>
        <v>0</v>
      </c>
      <c r="E124" s="15">
        <f t="shared" si="14"/>
        <v>0</v>
      </c>
      <c r="F124" s="15">
        <f>ROUND(D123*ROUND(((1+'CALCULADORA TIPS Pesos N-20'!$C$14)^(1/12)-1),6),6)</f>
        <v>0</v>
      </c>
      <c r="G124" s="15">
        <f t="shared" si="15"/>
        <v>0</v>
      </c>
      <c r="H124" s="22">
        <f>IF($B124=0,0,G124/POWER(1+'CALCULADORA TIPS Pesos N-20'!$F$11,Flujos!$B124/365))</f>
        <v>0</v>
      </c>
      <c r="I124" s="23">
        <f t="shared" si="12"/>
        <v>47456</v>
      </c>
      <c r="J124" s="20">
        <v>122</v>
      </c>
      <c r="K124" s="12">
        <f t="shared" si="16"/>
        <v>3711</v>
      </c>
      <c r="L124" s="76">
        <f t="shared" si="17"/>
        <v>-1.2398231774568558E-07</v>
      </c>
      <c r="M124" s="73">
        <f t="shared" si="18"/>
        <v>0</v>
      </c>
      <c r="N124" s="73">
        <f t="shared" si="19"/>
        <v>-6.073893746361136E-10</v>
      </c>
      <c r="O124" s="74">
        <f t="shared" si="20"/>
        <v>-6.073893746361136E-10</v>
      </c>
    </row>
    <row r="125" spans="1:15" ht="12.75">
      <c r="A125" s="4">
        <f t="shared" si="21"/>
        <v>47487</v>
      </c>
      <c r="B125" s="9">
        <f>IF(DIAS365('CALCULADORA TIPS Pesos N-20'!$E$6,A125)&lt;0,0,DIAS365('CALCULADORA TIPS Pesos N-20'!$E$6,A125))</f>
        <v>2708</v>
      </c>
      <c r="C125" s="5">
        <f>+HLOOKUP('CALCULADORA TIPS Pesos N-20'!$E$4,Tablas!$B$1:$C$181,Flujos!J125+1,FALSE)</f>
        <v>0</v>
      </c>
      <c r="D125" s="14">
        <f t="shared" si="13"/>
        <v>0</v>
      </c>
      <c r="E125" s="15">
        <f t="shared" si="14"/>
        <v>0</v>
      </c>
      <c r="F125" s="15">
        <f>ROUND(D124*ROUND(((1+'CALCULADORA TIPS Pesos N-20'!$C$14)^(1/12)-1),6),6)</f>
        <v>0</v>
      </c>
      <c r="G125" s="15">
        <f t="shared" si="15"/>
        <v>0</v>
      </c>
      <c r="H125" s="22">
        <f>IF($B125=0,0,G125/POWER(1+'CALCULADORA TIPS Pesos N-20'!$F$11,Flujos!$B125/365))</f>
        <v>0</v>
      </c>
      <c r="I125" s="23">
        <f t="shared" si="12"/>
        <v>47487</v>
      </c>
      <c r="J125" s="20">
        <v>123</v>
      </c>
      <c r="K125" s="12">
        <f t="shared" si="16"/>
        <v>3742</v>
      </c>
      <c r="L125" s="76">
        <f t="shared" si="17"/>
        <v>-1.2398231774568558E-07</v>
      </c>
      <c r="M125" s="73">
        <f t="shared" si="18"/>
        <v>0</v>
      </c>
      <c r="N125" s="73">
        <f t="shared" si="19"/>
        <v>-6.073893746361136E-10</v>
      </c>
      <c r="O125" s="74">
        <f t="shared" si="20"/>
        <v>-6.073893746361136E-10</v>
      </c>
    </row>
    <row r="126" spans="1:15" ht="12.75">
      <c r="A126" s="4">
        <f t="shared" si="21"/>
        <v>47518</v>
      </c>
      <c r="B126" s="9">
        <f>IF(DIAS365('CALCULADORA TIPS Pesos N-20'!$E$6,A126)&lt;0,0,DIAS365('CALCULADORA TIPS Pesos N-20'!$E$6,A126))</f>
        <v>2739</v>
      </c>
      <c r="C126" s="5">
        <f>+HLOOKUP('CALCULADORA TIPS Pesos N-20'!$E$4,Tablas!$B$1:$C$181,Flujos!J126+1,FALSE)</f>
        <v>0</v>
      </c>
      <c r="D126" s="14">
        <f t="shared" si="13"/>
        <v>0</v>
      </c>
      <c r="E126" s="15">
        <f t="shared" si="14"/>
        <v>0</v>
      </c>
      <c r="F126" s="15">
        <f>ROUND(D125*ROUND(((1+'CALCULADORA TIPS Pesos N-20'!$C$14)^(1/12)-1),6),6)</f>
        <v>0</v>
      </c>
      <c r="G126" s="15">
        <f t="shared" si="15"/>
        <v>0</v>
      </c>
      <c r="H126" s="22">
        <f>IF($B126=0,0,G126/POWER(1+'CALCULADORA TIPS Pesos N-20'!$F$11,Flujos!$B126/365))</f>
        <v>0</v>
      </c>
      <c r="I126" s="23">
        <f t="shared" si="12"/>
        <v>47518</v>
      </c>
      <c r="J126" s="20">
        <v>124</v>
      </c>
      <c r="K126" s="12">
        <f t="shared" si="16"/>
        <v>3773</v>
      </c>
      <c r="L126" s="76">
        <f t="shared" si="17"/>
        <v>-1.2398231774568558E-07</v>
      </c>
      <c r="M126" s="73">
        <f t="shared" si="18"/>
        <v>0</v>
      </c>
      <c r="N126" s="73">
        <f t="shared" si="19"/>
        <v>-6.073893746361136E-10</v>
      </c>
      <c r="O126" s="74">
        <f t="shared" si="20"/>
        <v>-6.073893746361136E-10</v>
      </c>
    </row>
    <row r="127" spans="1:15" ht="12.75">
      <c r="A127" s="4">
        <f t="shared" si="21"/>
        <v>47546</v>
      </c>
      <c r="B127" s="9">
        <f>IF(DIAS365('CALCULADORA TIPS Pesos N-20'!$E$6,A127)&lt;0,0,DIAS365('CALCULADORA TIPS Pesos N-20'!$E$6,A127))</f>
        <v>2767</v>
      </c>
      <c r="C127" s="5">
        <f>+HLOOKUP('CALCULADORA TIPS Pesos N-20'!$E$4,Tablas!$B$1:$C$181,Flujos!J127+1,FALSE)</f>
        <v>0</v>
      </c>
      <c r="D127" s="14">
        <f t="shared" si="13"/>
        <v>0</v>
      </c>
      <c r="E127" s="15">
        <f t="shared" si="14"/>
        <v>0</v>
      </c>
      <c r="F127" s="15">
        <f>ROUND(D126*ROUND(((1+'CALCULADORA TIPS Pesos N-20'!$C$14)^(1/12)-1),6),6)</f>
        <v>0</v>
      </c>
      <c r="G127" s="15">
        <f t="shared" si="15"/>
        <v>0</v>
      </c>
      <c r="H127" s="22">
        <f>IF($B127=0,0,G127/POWER(1+'CALCULADORA TIPS Pesos N-20'!$F$11,Flujos!$B127/365))</f>
        <v>0</v>
      </c>
      <c r="I127" s="23">
        <f t="shared" si="12"/>
        <v>47546</v>
      </c>
      <c r="J127" s="20">
        <v>125</v>
      </c>
      <c r="K127" s="12">
        <f t="shared" si="16"/>
        <v>3801</v>
      </c>
      <c r="L127" s="76">
        <f t="shared" si="17"/>
        <v>-1.2398231774568558E-07</v>
      </c>
      <c r="M127" s="73">
        <f t="shared" si="18"/>
        <v>0</v>
      </c>
      <c r="N127" s="73">
        <f t="shared" si="19"/>
        <v>-6.073893746361136E-10</v>
      </c>
      <c r="O127" s="74">
        <f t="shared" si="20"/>
        <v>-6.073893746361136E-10</v>
      </c>
    </row>
    <row r="128" spans="1:15" ht="12.75">
      <c r="A128" s="4">
        <f t="shared" si="21"/>
        <v>47577</v>
      </c>
      <c r="B128" s="9">
        <f>IF(DIAS365('CALCULADORA TIPS Pesos N-20'!$E$6,A128)&lt;0,0,DIAS365('CALCULADORA TIPS Pesos N-20'!$E$6,A128))</f>
        <v>2798</v>
      </c>
      <c r="C128" s="5">
        <f>+HLOOKUP('CALCULADORA TIPS Pesos N-20'!$E$4,Tablas!$B$1:$C$181,Flujos!J128+1,FALSE)</f>
        <v>0</v>
      </c>
      <c r="D128" s="14">
        <f t="shared" si="13"/>
        <v>0</v>
      </c>
      <c r="E128" s="15">
        <f t="shared" si="14"/>
        <v>0</v>
      </c>
      <c r="F128" s="15">
        <f>ROUND(D127*ROUND(((1+'CALCULADORA TIPS Pesos N-20'!$C$14)^(1/12)-1),6),6)</f>
        <v>0</v>
      </c>
      <c r="G128" s="15">
        <f t="shared" si="15"/>
        <v>0</v>
      </c>
      <c r="H128" s="22">
        <f>IF($B128=0,0,G128/POWER(1+'CALCULADORA TIPS Pesos N-20'!$F$11,Flujos!$B128/365))</f>
        <v>0</v>
      </c>
      <c r="I128" s="23">
        <f t="shared" si="12"/>
        <v>47577</v>
      </c>
      <c r="J128" s="20">
        <v>126</v>
      </c>
      <c r="K128" s="12">
        <f t="shared" si="16"/>
        <v>3832</v>
      </c>
      <c r="L128" s="76">
        <f t="shared" si="17"/>
        <v>-1.2398231774568558E-07</v>
      </c>
      <c r="M128" s="73">
        <f t="shared" si="18"/>
        <v>0</v>
      </c>
      <c r="N128" s="73">
        <f t="shared" si="19"/>
        <v>-6.073893746361136E-10</v>
      </c>
      <c r="O128" s="74">
        <f t="shared" si="20"/>
        <v>-6.073893746361136E-10</v>
      </c>
    </row>
    <row r="129" spans="1:15" ht="12.75">
      <c r="A129" s="4">
        <f t="shared" si="21"/>
        <v>47607</v>
      </c>
      <c r="B129" s="9">
        <f>IF(DIAS365('CALCULADORA TIPS Pesos N-20'!$E$6,A129)&lt;0,0,DIAS365('CALCULADORA TIPS Pesos N-20'!$E$6,A129))</f>
        <v>2828</v>
      </c>
      <c r="C129" s="5">
        <f>+HLOOKUP('CALCULADORA TIPS Pesos N-20'!$E$4,Tablas!$B$1:$C$181,Flujos!J129+1,FALSE)</f>
        <v>0</v>
      </c>
      <c r="D129" s="14">
        <f t="shared" si="13"/>
        <v>0</v>
      </c>
      <c r="E129" s="15">
        <f t="shared" si="14"/>
        <v>0</v>
      </c>
      <c r="F129" s="15">
        <f>ROUND(D128*ROUND(((1+'CALCULADORA TIPS Pesos N-20'!$C$14)^(1/12)-1),6),6)</f>
        <v>0</v>
      </c>
      <c r="G129" s="15">
        <f t="shared" si="15"/>
        <v>0</v>
      </c>
      <c r="H129" s="22">
        <f>IF($B129=0,0,G129/POWER(1+'CALCULADORA TIPS Pesos N-20'!$F$11,Flujos!$B129/365))</f>
        <v>0</v>
      </c>
      <c r="I129" s="23">
        <f t="shared" si="12"/>
        <v>47607</v>
      </c>
      <c r="J129" s="20">
        <v>127</v>
      </c>
      <c r="K129" s="12">
        <f t="shared" si="16"/>
        <v>3862</v>
      </c>
      <c r="L129" s="76">
        <f t="shared" si="17"/>
        <v>-1.2398231774568558E-07</v>
      </c>
      <c r="M129" s="73">
        <f t="shared" si="18"/>
        <v>0</v>
      </c>
      <c r="N129" s="73">
        <f t="shared" si="19"/>
        <v>-6.073893746361136E-10</v>
      </c>
      <c r="O129" s="74">
        <f t="shared" si="20"/>
        <v>-6.073893746361136E-10</v>
      </c>
    </row>
    <row r="130" spans="1:15" ht="12.75">
      <c r="A130" s="4">
        <f t="shared" si="21"/>
        <v>47638</v>
      </c>
      <c r="B130" s="9">
        <f>IF(DIAS365('CALCULADORA TIPS Pesos N-20'!$E$6,A130)&lt;0,0,DIAS365('CALCULADORA TIPS Pesos N-20'!$E$6,A130))</f>
        <v>2859</v>
      </c>
      <c r="C130" s="5">
        <f>+HLOOKUP('CALCULADORA TIPS Pesos N-20'!$E$4,Tablas!$B$1:$C$181,Flujos!J130+1,FALSE)</f>
        <v>0</v>
      </c>
      <c r="D130" s="14">
        <f t="shared" si="13"/>
        <v>0</v>
      </c>
      <c r="E130" s="15">
        <f t="shared" si="14"/>
        <v>0</v>
      </c>
      <c r="F130" s="15">
        <f>ROUND(D129*ROUND(((1+'CALCULADORA TIPS Pesos N-20'!$C$14)^(1/12)-1),6),6)</f>
        <v>0</v>
      </c>
      <c r="G130" s="15">
        <f t="shared" si="15"/>
        <v>0</v>
      </c>
      <c r="H130" s="22">
        <f>IF($B130=0,0,G130/POWER(1+'CALCULADORA TIPS Pesos N-20'!$F$11,Flujos!$B130/365))</f>
        <v>0</v>
      </c>
      <c r="I130" s="23">
        <f t="shared" si="12"/>
        <v>47638</v>
      </c>
      <c r="J130" s="20">
        <v>128</v>
      </c>
      <c r="K130" s="12">
        <f t="shared" si="16"/>
        <v>3893</v>
      </c>
      <c r="L130" s="76">
        <f t="shared" si="17"/>
        <v>-1.2398231774568558E-07</v>
      </c>
      <c r="M130" s="73">
        <f t="shared" si="18"/>
        <v>0</v>
      </c>
      <c r="N130" s="73">
        <f t="shared" si="19"/>
        <v>-6.073893746361136E-10</v>
      </c>
      <c r="O130" s="74">
        <f t="shared" si="20"/>
        <v>-6.073893746361136E-10</v>
      </c>
    </row>
    <row r="131" spans="1:15" ht="12.75">
      <c r="A131" s="4">
        <f aca="true" t="shared" si="22" ref="A131:A162">_XLL.FECHA.MES(A130,1)</f>
        <v>47668</v>
      </c>
      <c r="B131" s="9">
        <f>IF(DIAS365('CALCULADORA TIPS Pesos N-20'!$E$6,A131)&lt;0,0,DIAS365('CALCULADORA TIPS Pesos N-20'!$E$6,A131))</f>
        <v>2889</v>
      </c>
      <c r="C131" s="5">
        <f>+HLOOKUP('CALCULADORA TIPS Pesos N-20'!$E$4,Tablas!$B$1:$C$181,Flujos!J131+1,FALSE)</f>
        <v>0</v>
      </c>
      <c r="D131" s="14">
        <f t="shared" si="13"/>
        <v>0</v>
      </c>
      <c r="E131" s="15">
        <f t="shared" si="14"/>
        <v>0</v>
      </c>
      <c r="F131" s="15">
        <f>ROUND(D130*ROUND(((1+'CALCULADORA TIPS Pesos N-20'!$C$14)^(1/12)-1),6),6)</f>
        <v>0</v>
      </c>
      <c r="G131" s="15">
        <f t="shared" si="15"/>
        <v>0</v>
      </c>
      <c r="H131" s="22">
        <f>IF($B131=0,0,G131/POWER(1+'CALCULADORA TIPS Pesos N-20'!$F$11,Flujos!$B131/365))</f>
        <v>0</v>
      </c>
      <c r="I131" s="23">
        <f aca="true" t="shared" si="23" ref="I131:I182">+A131</f>
        <v>47668</v>
      </c>
      <c r="J131" s="20">
        <v>129</v>
      </c>
      <c r="K131" s="12">
        <f t="shared" si="16"/>
        <v>3923</v>
      </c>
      <c r="L131" s="76">
        <f t="shared" si="17"/>
        <v>-1.2398231774568558E-07</v>
      </c>
      <c r="M131" s="73">
        <f t="shared" si="18"/>
        <v>0</v>
      </c>
      <c r="N131" s="73">
        <f t="shared" si="19"/>
        <v>-6.073893746361136E-10</v>
      </c>
      <c r="O131" s="74">
        <f t="shared" si="20"/>
        <v>-6.073893746361136E-10</v>
      </c>
    </row>
    <row r="132" spans="1:15" ht="12.75">
      <c r="A132" s="4">
        <f t="shared" si="22"/>
        <v>47699</v>
      </c>
      <c r="B132" s="9">
        <f>IF(DIAS365('CALCULADORA TIPS Pesos N-20'!$E$6,A132)&lt;0,0,DIAS365('CALCULADORA TIPS Pesos N-20'!$E$6,A132))</f>
        <v>2920</v>
      </c>
      <c r="C132" s="5">
        <f>+HLOOKUP('CALCULADORA TIPS Pesos N-20'!$E$4,Tablas!$B$1:$C$181,Flujos!J132+1,FALSE)</f>
        <v>0</v>
      </c>
      <c r="D132" s="14">
        <f aca="true" t="shared" si="24" ref="D132:D182">+ROUND(D131-E132,6)</f>
        <v>0</v>
      </c>
      <c r="E132" s="15">
        <f aca="true" t="shared" si="25" ref="E132:E182">ROUND(C132*$D$2,6)</f>
        <v>0</v>
      </c>
      <c r="F132" s="15">
        <f>ROUND(D131*ROUND(((1+'CALCULADORA TIPS Pesos N-20'!$C$14)^(1/12)-1),6),6)</f>
        <v>0</v>
      </c>
      <c r="G132" s="15">
        <f aca="true" t="shared" si="26" ref="G132:G182">F132+E132</f>
        <v>0</v>
      </c>
      <c r="H132" s="22">
        <f>IF($B132=0,0,G132/POWER(1+'CALCULADORA TIPS Pesos N-20'!$F$11,Flujos!$B132/365))</f>
        <v>0</v>
      </c>
      <c r="I132" s="23">
        <f t="shared" si="23"/>
        <v>47699</v>
      </c>
      <c r="J132" s="20">
        <v>130</v>
      </c>
      <c r="K132" s="12">
        <f aca="true" t="shared" si="27" ref="K132:K182">+DIAS365($A$2,A132)</f>
        <v>3954</v>
      </c>
      <c r="L132" s="76">
        <f aca="true" t="shared" si="28" ref="L132:L182">+L131-M132</f>
        <v>-1.2398231774568558E-07</v>
      </c>
      <c r="M132" s="73">
        <f aca="true" t="shared" si="29" ref="M132:M182">+$L$2*C132</f>
        <v>0</v>
      </c>
      <c r="N132" s="73">
        <f aca="true" t="shared" si="30" ref="N132:N182">+L131*$F$3%</f>
        <v>-6.073893746361136E-10</v>
      </c>
      <c r="O132" s="74">
        <f aca="true" t="shared" si="31" ref="O132:O182">+N132+M132</f>
        <v>-6.073893746361136E-10</v>
      </c>
    </row>
    <row r="133" spans="1:15" ht="12.75">
      <c r="A133" s="4">
        <f t="shared" si="22"/>
        <v>47730</v>
      </c>
      <c r="B133" s="9">
        <f>IF(DIAS365('CALCULADORA TIPS Pesos N-20'!$E$6,A133)&lt;0,0,DIAS365('CALCULADORA TIPS Pesos N-20'!$E$6,A133))</f>
        <v>2951</v>
      </c>
      <c r="C133" s="5">
        <f>+HLOOKUP('CALCULADORA TIPS Pesos N-20'!$E$4,Tablas!$B$1:$C$181,Flujos!J133+1,FALSE)</f>
        <v>0</v>
      </c>
      <c r="D133" s="14">
        <f t="shared" si="24"/>
        <v>0</v>
      </c>
      <c r="E133" s="15">
        <f t="shared" si="25"/>
        <v>0</v>
      </c>
      <c r="F133" s="15">
        <f>ROUND(D132*ROUND(((1+'CALCULADORA TIPS Pesos N-20'!$C$14)^(1/12)-1),6),6)</f>
        <v>0</v>
      </c>
      <c r="G133" s="15">
        <f t="shared" si="26"/>
        <v>0</v>
      </c>
      <c r="H133" s="22">
        <f>IF($B133=0,0,G133/POWER(1+'CALCULADORA TIPS Pesos N-20'!$F$11,Flujos!$B133/365))</f>
        <v>0</v>
      </c>
      <c r="I133" s="23">
        <f t="shared" si="23"/>
        <v>47730</v>
      </c>
      <c r="J133" s="20">
        <v>131</v>
      </c>
      <c r="K133" s="12">
        <f t="shared" si="27"/>
        <v>3985</v>
      </c>
      <c r="L133" s="76">
        <f t="shared" si="28"/>
        <v>-1.2398231774568558E-07</v>
      </c>
      <c r="M133" s="73">
        <f t="shared" si="29"/>
        <v>0</v>
      </c>
      <c r="N133" s="73">
        <f t="shared" si="30"/>
        <v>-6.073893746361136E-10</v>
      </c>
      <c r="O133" s="74">
        <f t="shared" si="31"/>
        <v>-6.073893746361136E-10</v>
      </c>
    </row>
    <row r="134" spans="1:15" ht="12.75">
      <c r="A134" s="4">
        <f t="shared" si="22"/>
        <v>47760</v>
      </c>
      <c r="B134" s="9">
        <f>IF(DIAS365('CALCULADORA TIPS Pesos N-20'!$E$6,A134)&lt;0,0,DIAS365('CALCULADORA TIPS Pesos N-20'!$E$6,A134))</f>
        <v>2981</v>
      </c>
      <c r="C134" s="5">
        <f>+HLOOKUP('CALCULADORA TIPS Pesos N-20'!$E$4,Tablas!$B$1:$C$181,Flujos!J134+1,FALSE)</f>
        <v>0</v>
      </c>
      <c r="D134" s="14">
        <f t="shared" si="24"/>
        <v>0</v>
      </c>
      <c r="E134" s="15">
        <f t="shared" si="25"/>
        <v>0</v>
      </c>
      <c r="F134" s="15">
        <f>ROUND(D133*ROUND(((1+'CALCULADORA TIPS Pesos N-20'!$C$14)^(1/12)-1),6),6)</f>
        <v>0</v>
      </c>
      <c r="G134" s="15">
        <f t="shared" si="26"/>
        <v>0</v>
      </c>
      <c r="H134" s="22">
        <f>IF($B134=0,0,G134/POWER(1+'CALCULADORA TIPS Pesos N-20'!$F$11,Flujos!$B134/365))</f>
        <v>0</v>
      </c>
      <c r="I134" s="23">
        <f t="shared" si="23"/>
        <v>47760</v>
      </c>
      <c r="J134" s="20">
        <v>132</v>
      </c>
      <c r="K134" s="12">
        <f t="shared" si="27"/>
        <v>4015</v>
      </c>
      <c r="L134" s="76">
        <f t="shared" si="28"/>
        <v>-1.2398231774568558E-07</v>
      </c>
      <c r="M134" s="73">
        <f t="shared" si="29"/>
        <v>0</v>
      </c>
      <c r="N134" s="73">
        <f t="shared" si="30"/>
        <v>-6.073893746361136E-10</v>
      </c>
      <c r="O134" s="74">
        <f t="shared" si="31"/>
        <v>-6.073893746361136E-10</v>
      </c>
    </row>
    <row r="135" spans="1:15" ht="12.75">
      <c r="A135" s="4">
        <f t="shared" si="22"/>
        <v>47791</v>
      </c>
      <c r="B135" s="9">
        <f>IF(DIAS365('CALCULADORA TIPS Pesos N-20'!$E$6,A135)&lt;0,0,DIAS365('CALCULADORA TIPS Pesos N-20'!$E$6,A135))</f>
        <v>3012</v>
      </c>
      <c r="C135" s="5">
        <f>+HLOOKUP('CALCULADORA TIPS Pesos N-20'!$E$4,Tablas!$B$1:$C$181,Flujos!J135+1,FALSE)</f>
        <v>0</v>
      </c>
      <c r="D135" s="14">
        <f t="shared" si="24"/>
        <v>0</v>
      </c>
      <c r="E135" s="15">
        <f t="shared" si="25"/>
        <v>0</v>
      </c>
      <c r="F135" s="15">
        <f>ROUND(D134*ROUND(((1+'CALCULADORA TIPS Pesos N-20'!$C$14)^(1/12)-1),6),6)</f>
        <v>0</v>
      </c>
      <c r="G135" s="15">
        <f t="shared" si="26"/>
        <v>0</v>
      </c>
      <c r="H135" s="22">
        <f>IF($B135=0,0,G135/POWER(1+'CALCULADORA TIPS Pesos N-20'!$F$11,Flujos!$B135/365))</f>
        <v>0</v>
      </c>
      <c r="I135" s="23">
        <f t="shared" si="23"/>
        <v>47791</v>
      </c>
      <c r="J135" s="20">
        <v>133</v>
      </c>
      <c r="K135" s="12">
        <f t="shared" si="27"/>
        <v>4046</v>
      </c>
      <c r="L135" s="76">
        <f t="shared" si="28"/>
        <v>-1.2398231774568558E-07</v>
      </c>
      <c r="M135" s="73">
        <f t="shared" si="29"/>
        <v>0</v>
      </c>
      <c r="N135" s="73">
        <f t="shared" si="30"/>
        <v>-6.073893746361136E-10</v>
      </c>
      <c r="O135" s="74">
        <f t="shared" si="31"/>
        <v>-6.073893746361136E-10</v>
      </c>
    </row>
    <row r="136" spans="1:15" ht="12.75">
      <c r="A136" s="4">
        <f t="shared" si="22"/>
        <v>47821</v>
      </c>
      <c r="B136" s="9">
        <f>IF(DIAS365('CALCULADORA TIPS Pesos N-20'!$E$6,A136)&lt;0,0,DIAS365('CALCULADORA TIPS Pesos N-20'!$E$6,A136))</f>
        <v>3042</v>
      </c>
      <c r="C136" s="5">
        <f>+HLOOKUP('CALCULADORA TIPS Pesos N-20'!$E$4,Tablas!$B$1:$C$181,Flujos!J136+1,FALSE)</f>
        <v>0</v>
      </c>
      <c r="D136" s="14">
        <f t="shared" si="24"/>
        <v>0</v>
      </c>
      <c r="E136" s="15">
        <f t="shared" si="25"/>
        <v>0</v>
      </c>
      <c r="F136" s="15">
        <f>ROUND(D135*ROUND(((1+'CALCULADORA TIPS Pesos N-20'!$C$14)^(1/12)-1),6),6)</f>
        <v>0</v>
      </c>
      <c r="G136" s="15">
        <f t="shared" si="26"/>
        <v>0</v>
      </c>
      <c r="H136" s="22">
        <f>IF($B136=0,0,G136/POWER(1+'CALCULADORA TIPS Pesos N-20'!$F$11,Flujos!$B136/365))</f>
        <v>0</v>
      </c>
      <c r="I136" s="23">
        <f t="shared" si="23"/>
        <v>47821</v>
      </c>
      <c r="J136" s="20">
        <v>134</v>
      </c>
      <c r="K136" s="12">
        <f t="shared" si="27"/>
        <v>4076</v>
      </c>
      <c r="L136" s="76">
        <f t="shared" si="28"/>
        <v>-1.2398231774568558E-07</v>
      </c>
      <c r="M136" s="73">
        <f t="shared" si="29"/>
        <v>0</v>
      </c>
      <c r="N136" s="73">
        <f t="shared" si="30"/>
        <v>-6.073893746361136E-10</v>
      </c>
      <c r="O136" s="74">
        <f t="shared" si="31"/>
        <v>-6.073893746361136E-10</v>
      </c>
    </row>
    <row r="137" spans="1:15" ht="12.75">
      <c r="A137" s="4">
        <f t="shared" si="22"/>
        <v>47852</v>
      </c>
      <c r="B137" s="9">
        <f>IF(DIAS365('CALCULADORA TIPS Pesos N-20'!$E$6,A137)&lt;0,0,DIAS365('CALCULADORA TIPS Pesos N-20'!$E$6,A137))</f>
        <v>3073</v>
      </c>
      <c r="C137" s="5">
        <f>+HLOOKUP('CALCULADORA TIPS Pesos N-20'!$E$4,Tablas!$B$1:$C$181,Flujos!J137+1,FALSE)</f>
        <v>0</v>
      </c>
      <c r="D137" s="14">
        <f t="shared" si="24"/>
        <v>0</v>
      </c>
      <c r="E137" s="15">
        <f t="shared" si="25"/>
        <v>0</v>
      </c>
      <c r="F137" s="15">
        <f>ROUND(D136*ROUND(((1+'CALCULADORA TIPS Pesos N-20'!$C$14)^(1/12)-1),6),6)</f>
        <v>0</v>
      </c>
      <c r="G137" s="15">
        <f t="shared" si="26"/>
        <v>0</v>
      </c>
      <c r="H137" s="22">
        <f>IF($B137=0,0,G137/POWER(1+'CALCULADORA TIPS Pesos N-20'!$F$11,Flujos!$B137/365))</f>
        <v>0</v>
      </c>
      <c r="I137" s="23">
        <f t="shared" si="23"/>
        <v>47852</v>
      </c>
      <c r="J137" s="20">
        <v>135</v>
      </c>
      <c r="K137" s="12">
        <f t="shared" si="27"/>
        <v>4107</v>
      </c>
      <c r="L137" s="76">
        <f t="shared" si="28"/>
        <v>-1.2398231774568558E-07</v>
      </c>
      <c r="M137" s="73">
        <f t="shared" si="29"/>
        <v>0</v>
      </c>
      <c r="N137" s="73">
        <f t="shared" si="30"/>
        <v>-6.073893746361136E-10</v>
      </c>
      <c r="O137" s="74">
        <f t="shared" si="31"/>
        <v>-6.073893746361136E-10</v>
      </c>
    </row>
    <row r="138" spans="1:15" ht="12.75">
      <c r="A138" s="4">
        <f t="shared" si="22"/>
        <v>47883</v>
      </c>
      <c r="B138" s="9">
        <f>IF(DIAS365('CALCULADORA TIPS Pesos N-20'!$E$6,A138)&lt;0,0,DIAS365('CALCULADORA TIPS Pesos N-20'!$E$6,A138))</f>
        <v>3104</v>
      </c>
      <c r="C138" s="5">
        <f>+HLOOKUP('CALCULADORA TIPS Pesos N-20'!$E$4,Tablas!$B$1:$C$181,Flujos!J138+1,FALSE)</f>
        <v>0</v>
      </c>
      <c r="D138" s="14">
        <f t="shared" si="24"/>
        <v>0</v>
      </c>
      <c r="E138" s="15">
        <f t="shared" si="25"/>
        <v>0</v>
      </c>
      <c r="F138" s="15">
        <f>ROUND(D137*ROUND(((1+'CALCULADORA TIPS Pesos N-20'!$C$14)^(1/12)-1),6),6)</f>
        <v>0</v>
      </c>
      <c r="G138" s="15">
        <f t="shared" si="26"/>
        <v>0</v>
      </c>
      <c r="H138" s="22">
        <f>IF($B138=0,0,G138/POWER(1+'CALCULADORA TIPS Pesos N-20'!$F$11,Flujos!$B138/365))</f>
        <v>0</v>
      </c>
      <c r="I138" s="23">
        <f t="shared" si="23"/>
        <v>47883</v>
      </c>
      <c r="J138" s="20">
        <v>136</v>
      </c>
      <c r="K138" s="12">
        <f t="shared" si="27"/>
        <v>4138</v>
      </c>
      <c r="L138" s="76">
        <f t="shared" si="28"/>
        <v>-1.2398231774568558E-07</v>
      </c>
      <c r="M138" s="73">
        <f t="shared" si="29"/>
        <v>0</v>
      </c>
      <c r="N138" s="73">
        <f t="shared" si="30"/>
        <v>-6.073893746361136E-10</v>
      </c>
      <c r="O138" s="74">
        <f t="shared" si="31"/>
        <v>-6.073893746361136E-10</v>
      </c>
    </row>
    <row r="139" spans="1:15" ht="12.75">
      <c r="A139" s="4">
        <f t="shared" si="22"/>
        <v>47911</v>
      </c>
      <c r="B139" s="9">
        <f>IF(DIAS365('CALCULADORA TIPS Pesos N-20'!$E$6,A139)&lt;0,0,DIAS365('CALCULADORA TIPS Pesos N-20'!$E$6,A139))</f>
        <v>3132</v>
      </c>
      <c r="C139" s="5">
        <f>+HLOOKUP('CALCULADORA TIPS Pesos N-20'!$E$4,Tablas!$B$1:$C$181,Flujos!J139+1,FALSE)</f>
        <v>0</v>
      </c>
      <c r="D139" s="14">
        <f t="shared" si="24"/>
        <v>0</v>
      </c>
      <c r="E139" s="15">
        <f t="shared" si="25"/>
        <v>0</v>
      </c>
      <c r="F139" s="15">
        <f>ROUND(D138*ROUND(((1+'CALCULADORA TIPS Pesos N-20'!$C$14)^(1/12)-1),6),6)</f>
        <v>0</v>
      </c>
      <c r="G139" s="15">
        <f t="shared" si="26"/>
        <v>0</v>
      </c>
      <c r="H139" s="22">
        <f>IF($B139=0,0,G139/POWER(1+'CALCULADORA TIPS Pesos N-20'!$F$11,Flujos!$B139/365))</f>
        <v>0</v>
      </c>
      <c r="I139" s="23">
        <f t="shared" si="23"/>
        <v>47911</v>
      </c>
      <c r="J139" s="20">
        <v>137</v>
      </c>
      <c r="K139" s="12">
        <f t="shared" si="27"/>
        <v>4166</v>
      </c>
      <c r="L139" s="76">
        <f t="shared" si="28"/>
        <v>-1.2398231774568558E-07</v>
      </c>
      <c r="M139" s="73">
        <f t="shared" si="29"/>
        <v>0</v>
      </c>
      <c r="N139" s="73">
        <f t="shared" si="30"/>
        <v>-6.073893746361136E-10</v>
      </c>
      <c r="O139" s="74">
        <f t="shared" si="31"/>
        <v>-6.073893746361136E-10</v>
      </c>
    </row>
    <row r="140" spans="1:15" ht="12.75">
      <c r="A140" s="4">
        <f t="shared" si="22"/>
        <v>47942</v>
      </c>
      <c r="B140" s="9">
        <f>IF(DIAS365('CALCULADORA TIPS Pesos N-20'!$E$6,A140)&lt;0,0,DIAS365('CALCULADORA TIPS Pesos N-20'!$E$6,A140))</f>
        <v>3163</v>
      </c>
      <c r="C140" s="5">
        <f>+HLOOKUP('CALCULADORA TIPS Pesos N-20'!$E$4,Tablas!$B$1:$C$181,Flujos!J140+1,FALSE)</f>
        <v>0</v>
      </c>
      <c r="D140" s="14">
        <f t="shared" si="24"/>
        <v>0</v>
      </c>
      <c r="E140" s="15">
        <f t="shared" si="25"/>
        <v>0</v>
      </c>
      <c r="F140" s="15">
        <f>ROUND(D139*ROUND(((1+'CALCULADORA TIPS Pesos N-20'!$C$14)^(1/12)-1),6),6)</f>
        <v>0</v>
      </c>
      <c r="G140" s="15">
        <f t="shared" si="26"/>
        <v>0</v>
      </c>
      <c r="H140" s="22">
        <f>IF($B140=0,0,G140/POWER(1+'CALCULADORA TIPS Pesos N-20'!$F$11,Flujos!$B140/365))</f>
        <v>0</v>
      </c>
      <c r="I140" s="23">
        <f t="shared" si="23"/>
        <v>47942</v>
      </c>
      <c r="J140" s="20">
        <v>138</v>
      </c>
      <c r="K140" s="12">
        <f t="shared" si="27"/>
        <v>4197</v>
      </c>
      <c r="L140" s="76">
        <f t="shared" si="28"/>
        <v>-1.2398231774568558E-07</v>
      </c>
      <c r="M140" s="73">
        <f t="shared" si="29"/>
        <v>0</v>
      </c>
      <c r="N140" s="73">
        <f t="shared" si="30"/>
        <v>-6.073893746361136E-10</v>
      </c>
      <c r="O140" s="74">
        <f t="shared" si="31"/>
        <v>-6.073893746361136E-10</v>
      </c>
    </row>
    <row r="141" spans="1:15" ht="12.75">
      <c r="A141" s="4">
        <f t="shared" si="22"/>
        <v>47972</v>
      </c>
      <c r="B141" s="9">
        <f>IF(DIAS365('CALCULADORA TIPS Pesos N-20'!$E$6,A141)&lt;0,0,DIAS365('CALCULADORA TIPS Pesos N-20'!$E$6,A141))</f>
        <v>3193</v>
      </c>
      <c r="C141" s="5">
        <f>+HLOOKUP('CALCULADORA TIPS Pesos N-20'!$E$4,Tablas!$B$1:$C$181,Flujos!J141+1,FALSE)</f>
        <v>0</v>
      </c>
      <c r="D141" s="14">
        <f t="shared" si="24"/>
        <v>0</v>
      </c>
      <c r="E141" s="15">
        <f t="shared" si="25"/>
        <v>0</v>
      </c>
      <c r="F141" s="15">
        <f>ROUND(D140*ROUND(((1+'CALCULADORA TIPS Pesos N-20'!$C$14)^(1/12)-1),6),6)</f>
        <v>0</v>
      </c>
      <c r="G141" s="15">
        <f t="shared" si="26"/>
        <v>0</v>
      </c>
      <c r="H141" s="22">
        <f>IF($B141=0,0,G141/POWER(1+'CALCULADORA TIPS Pesos N-20'!$F$11,Flujos!$B141/365))</f>
        <v>0</v>
      </c>
      <c r="I141" s="23">
        <f t="shared" si="23"/>
        <v>47972</v>
      </c>
      <c r="J141" s="20">
        <v>139</v>
      </c>
      <c r="K141" s="12">
        <f t="shared" si="27"/>
        <v>4227</v>
      </c>
      <c r="L141" s="76">
        <f t="shared" si="28"/>
        <v>-1.2398231774568558E-07</v>
      </c>
      <c r="M141" s="73">
        <f t="shared" si="29"/>
        <v>0</v>
      </c>
      <c r="N141" s="73">
        <f t="shared" si="30"/>
        <v>-6.073893746361136E-10</v>
      </c>
      <c r="O141" s="74">
        <f t="shared" si="31"/>
        <v>-6.073893746361136E-10</v>
      </c>
    </row>
    <row r="142" spans="1:15" ht="12.75">
      <c r="A142" s="4">
        <f t="shared" si="22"/>
        <v>48003</v>
      </c>
      <c r="B142" s="9">
        <f>IF(DIAS365('CALCULADORA TIPS Pesos N-20'!$E$6,A142)&lt;0,0,DIAS365('CALCULADORA TIPS Pesos N-20'!$E$6,A142))</f>
        <v>3224</v>
      </c>
      <c r="C142" s="5">
        <f>+HLOOKUP('CALCULADORA TIPS Pesos N-20'!$E$4,Tablas!$B$1:$C$181,Flujos!J142+1,FALSE)</f>
        <v>0</v>
      </c>
      <c r="D142" s="14">
        <f t="shared" si="24"/>
        <v>0</v>
      </c>
      <c r="E142" s="15">
        <f t="shared" si="25"/>
        <v>0</v>
      </c>
      <c r="F142" s="15">
        <f>ROUND(D141*ROUND(((1+'CALCULADORA TIPS Pesos N-20'!$C$14)^(1/12)-1),6),6)</f>
        <v>0</v>
      </c>
      <c r="G142" s="15">
        <f t="shared" si="26"/>
        <v>0</v>
      </c>
      <c r="H142" s="22">
        <f>IF($B142=0,0,G142/POWER(1+'CALCULADORA TIPS Pesos N-20'!$F$11,Flujos!$B142/365))</f>
        <v>0</v>
      </c>
      <c r="I142" s="23">
        <f t="shared" si="23"/>
        <v>48003</v>
      </c>
      <c r="J142" s="20">
        <v>140</v>
      </c>
      <c r="K142" s="12">
        <f t="shared" si="27"/>
        <v>4258</v>
      </c>
      <c r="L142" s="76">
        <f t="shared" si="28"/>
        <v>-1.2398231774568558E-07</v>
      </c>
      <c r="M142" s="73">
        <f t="shared" si="29"/>
        <v>0</v>
      </c>
      <c r="N142" s="73">
        <f t="shared" si="30"/>
        <v>-6.073893746361136E-10</v>
      </c>
      <c r="O142" s="74">
        <f t="shared" si="31"/>
        <v>-6.073893746361136E-10</v>
      </c>
    </row>
    <row r="143" spans="1:15" ht="12.75">
      <c r="A143" s="4">
        <f t="shared" si="22"/>
        <v>48033</v>
      </c>
      <c r="B143" s="9">
        <f>IF(DIAS365('CALCULADORA TIPS Pesos N-20'!$E$6,A143)&lt;0,0,DIAS365('CALCULADORA TIPS Pesos N-20'!$E$6,A143))</f>
        <v>3254</v>
      </c>
      <c r="C143" s="5">
        <f>+HLOOKUP('CALCULADORA TIPS Pesos N-20'!$E$4,Tablas!$B$1:$C$181,Flujos!J143+1,FALSE)</f>
        <v>0</v>
      </c>
      <c r="D143" s="14">
        <f t="shared" si="24"/>
        <v>0</v>
      </c>
      <c r="E143" s="15">
        <f t="shared" si="25"/>
        <v>0</v>
      </c>
      <c r="F143" s="15">
        <f>ROUND(D142*ROUND(((1+'CALCULADORA TIPS Pesos N-20'!$C$14)^(1/12)-1),6),6)</f>
        <v>0</v>
      </c>
      <c r="G143" s="15">
        <f t="shared" si="26"/>
        <v>0</v>
      </c>
      <c r="H143" s="22">
        <f>IF($B143=0,0,G143/POWER(1+'CALCULADORA TIPS Pesos N-20'!$F$11,Flujos!$B143/365))</f>
        <v>0</v>
      </c>
      <c r="I143" s="23">
        <f t="shared" si="23"/>
        <v>48033</v>
      </c>
      <c r="J143" s="20">
        <v>141</v>
      </c>
      <c r="K143" s="12">
        <f t="shared" si="27"/>
        <v>4288</v>
      </c>
      <c r="L143" s="76">
        <f t="shared" si="28"/>
        <v>-1.2398231774568558E-07</v>
      </c>
      <c r="M143" s="73">
        <f t="shared" si="29"/>
        <v>0</v>
      </c>
      <c r="N143" s="73">
        <f t="shared" si="30"/>
        <v>-6.073893746361136E-10</v>
      </c>
      <c r="O143" s="74">
        <f t="shared" si="31"/>
        <v>-6.073893746361136E-10</v>
      </c>
    </row>
    <row r="144" spans="1:15" ht="12.75">
      <c r="A144" s="4">
        <f t="shared" si="22"/>
        <v>48064</v>
      </c>
      <c r="B144" s="9">
        <f>IF(DIAS365('CALCULADORA TIPS Pesos N-20'!$E$6,A144)&lt;0,0,DIAS365('CALCULADORA TIPS Pesos N-20'!$E$6,A144))</f>
        <v>3285</v>
      </c>
      <c r="C144" s="5">
        <f>+HLOOKUP('CALCULADORA TIPS Pesos N-20'!$E$4,Tablas!$B$1:$C$181,Flujos!J144+1,FALSE)</f>
        <v>0</v>
      </c>
      <c r="D144" s="14">
        <f t="shared" si="24"/>
        <v>0</v>
      </c>
      <c r="E144" s="15">
        <f t="shared" si="25"/>
        <v>0</v>
      </c>
      <c r="F144" s="15">
        <f>ROUND(D143*ROUND(((1+'CALCULADORA TIPS Pesos N-20'!$C$14)^(1/12)-1),6),6)</f>
        <v>0</v>
      </c>
      <c r="G144" s="15">
        <f t="shared" si="26"/>
        <v>0</v>
      </c>
      <c r="H144" s="22">
        <f>IF($B144=0,0,G144/POWER(1+'CALCULADORA TIPS Pesos N-20'!$F$11,Flujos!$B144/365))</f>
        <v>0</v>
      </c>
      <c r="I144" s="23">
        <f t="shared" si="23"/>
        <v>48064</v>
      </c>
      <c r="J144" s="20">
        <v>142</v>
      </c>
      <c r="K144" s="12">
        <f t="shared" si="27"/>
        <v>4319</v>
      </c>
      <c r="L144" s="76">
        <f t="shared" si="28"/>
        <v>-1.2398231774568558E-07</v>
      </c>
      <c r="M144" s="73">
        <f t="shared" si="29"/>
        <v>0</v>
      </c>
      <c r="N144" s="73">
        <f t="shared" si="30"/>
        <v>-6.073893746361136E-10</v>
      </c>
      <c r="O144" s="74">
        <f t="shared" si="31"/>
        <v>-6.073893746361136E-10</v>
      </c>
    </row>
    <row r="145" spans="1:15" ht="12.75">
      <c r="A145" s="4">
        <f t="shared" si="22"/>
        <v>48095</v>
      </c>
      <c r="B145" s="9">
        <f>IF(DIAS365('CALCULADORA TIPS Pesos N-20'!$E$6,A145)&lt;0,0,DIAS365('CALCULADORA TIPS Pesos N-20'!$E$6,A145))</f>
        <v>3316</v>
      </c>
      <c r="C145" s="5">
        <f>+HLOOKUP('CALCULADORA TIPS Pesos N-20'!$E$4,Tablas!$B$1:$C$181,Flujos!J145+1,FALSE)</f>
        <v>0</v>
      </c>
      <c r="D145" s="14">
        <f t="shared" si="24"/>
        <v>0</v>
      </c>
      <c r="E145" s="15">
        <f t="shared" si="25"/>
        <v>0</v>
      </c>
      <c r="F145" s="15">
        <f>ROUND(D144*ROUND(((1+'CALCULADORA TIPS Pesos N-20'!$C$14)^(1/12)-1),6),6)</f>
        <v>0</v>
      </c>
      <c r="G145" s="15">
        <f t="shared" si="26"/>
        <v>0</v>
      </c>
      <c r="H145" s="22">
        <f>IF($B145=0,0,G145/POWER(1+'CALCULADORA TIPS Pesos N-20'!$F$11,Flujos!$B145/365))</f>
        <v>0</v>
      </c>
      <c r="I145" s="23">
        <f t="shared" si="23"/>
        <v>48095</v>
      </c>
      <c r="J145" s="20">
        <v>143</v>
      </c>
      <c r="K145" s="12">
        <f t="shared" si="27"/>
        <v>4350</v>
      </c>
      <c r="L145" s="76">
        <f t="shared" si="28"/>
        <v>-1.2398231774568558E-07</v>
      </c>
      <c r="M145" s="73">
        <f t="shared" si="29"/>
        <v>0</v>
      </c>
      <c r="N145" s="73">
        <f t="shared" si="30"/>
        <v>-6.073893746361136E-10</v>
      </c>
      <c r="O145" s="74">
        <f t="shared" si="31"/>
        <v>-6.073893746361136E-10</v>
      </c>
    </row>
    <row r="146" spans="1:15" ht="12.75">
      <c r="A146" s="4">
        <f t="shared" si="22"/>
        <v>48125</v>
      </c>
      <c r="B146" s="9">
        <f>IF(DIAS365('CALCULADORA TIPS Pesos N-20'!$E$6,A146)&lt;0,0,DIAS365('CALCULADORA TIPS Pesos N-20'!$E$6,A146))</f>
        <v>3346</v>
      </c>
      <c r="C146" s="5">
        <f>+HLOOKUP('CALCULADORA TIPS Pesos N-20'!$E$4,Tablas!$B$1:$C$181,Flujos!J146+1,FALSE)</f>
        <v>0</v>
      </c>
      <c r="D146" s="14">
        <f t="shared" si="24"/>
        <v>0</v>
      </c>
      <c r="E146" s="15">
        <f t="shared" si="25"/>
        <v>0</v>
      </c>
      <c r="F146" s="15">
        <f>ROUND(D145*ROUND(((1+'CALCULADORA TIPS Pesos N-20'!$C$14)^(1/12)-1),6),6)</f>
        <v>0</v>
      </c>
      <c r="G146" s="15">
        <f t="shared" si="26"/>
        <v>0</v>
      </c>
      <c r="H146" s="22">
        <f>IF($B146=0,0,G146/POWER(1+'CALCULADORA TIPS Pesos N-20'!$F$11,Flujos!$B146/365))</f>
        <v>0</v>
      </c>
      <c r="I146" s="23">
        <f t="shared" si="23"/>
        <v>48125</v>
      </c>
      <c r="J146" s="20">
        <v>144</v>
      </c>
      <c r="K146" s="12">
        <f t="shared" si="27"/>
        <v>4380</v>
      </c>
      <c r="L146" s="76">
        <f t="shared" si="28"/>
        <v>-1.2398231774568558E-07</v>
      </c>
      <c r="M146" s="73">
        <f t="shared" si="29"/>
        <v>0</v>
      </c>
      <c r="N146" s="73">
        <f t="shared" si="30"/>
        <v>-6.073893746361136E-10</v>
      </c>
      <c r="O146" s="74">
        <f t="shared" si="31"/>
        <v>-6.073893746361136E-10</v>
      </c>
    </row>
    <row r="147" spans="1:15" ht="12.75">
      <c r="A147" s="4">
        <f t="shared" si="22"/>
        <v>48156</v>
      </c>
      <c r="B147" s="9">
        <f>IF(DIAS365('CALCULADORA TIPS Pesos N-20'!$E$6,A147)&lt;0,0,DIAS365('CALCULADORA TIPS Pesos N-20'!$E$6,A147))</f>
        <v>3377</v>
      </c>
      <c r="C147" s="5">
        <f>+HLOOKUP('CALCULADORA TIPS Pesos N-20'!$E$4,Tablas!$B$1:$C$181,Flujos!J147+1,FALSE)</f>
        <v>0</v>
      </c>
      <c r="D147" s="14">
        <f t="shared" si="24"/>
        <v>0</v>
      </c>
      <c r="E147" s="15">
        <f t="shared" si="25"/>
        <v>0</v>
      </c>
      <c r="F147" s="15">
        <f>ROUND(D146*ROUND(((1+'CALCULADORA TIPS Pesos N-20'!$C$14)^(1/12)-1),6),6)</f>
        <v>0</v>
      </c>
      <c r="G147" s="15">
        <f t="shared" si="26"/>
        <v>0</v>
      </c>
      <c r="H147" s="22">
        <f>IF($B147=0,0,G147/POWER(1+'CALCULADORA TIPS Pesos N-20'!$F$11,Flujos!$B147/365))</f>
        <v>0</v>
      </c>
      <c r="I147" s="23">
        <f t="shared" si="23"/>
        <v>48156</v>
      </c>
      <c r="J147" s="20">
        <v>145</v>
      </c>
      <c r="K147" s="12">
        <f t="shared" si="27"/>
        <v>4411</v>
      </c>
      <c r="L147" s="76">
        <f t="shared" si="28"/>
        <v>-1.2398231774568558E-07</v>
      </c>
      <c r="M147" s="73">
        <f t="shared" si="29"/>
        <v>0</v>
      </c>
      <c r="N147" s="73">
        <f t="shared" si="30"/>
        <v>-6.073893746361136E-10</v>
      </c>
      <c r="O147" s="74">
        <f t="shared" si="31"/>
        <v>-6.073893746361136E-10</v>
      </c>
    </row>
    <row r="148" spans="1:15" ht="12.75">
      <c r="A148" s="4">
        <f t="shared" si="22"/>
        <v>48186</v>
      </c>
      <c r="B148" s="9">
        <f>IF(DIAS365('CALCULADORA TIPS Pesos N-20'!$E$6,A148)&lt;0,0,DIAS365('CALCULADORA TIPS Pesos N-20'!$E$6,A148))</f>
        <v>3407</v>
      </c>
      <c r="C148" s="5">
        <f>+HLOOKUP('CALCULADORA TIPS Pesos N-20'!$E$4,Tablas!$B$1:$C$181,Flujos!J148+1,FALSE)</f>
        <v>0</v>
      </c>
      <c r="D148" s="14">
        <f t="shared" si="24"/>
        <v>0</v>
      </c>
      <c r="E148" s="15">
        <f t="shared" si="25"/>
        <v>0</v>
      </c>
      <c r="F148" s="15">
        <f>ROUND(D147*ROUND(((1+'CALCULADORA TIPS Pesos N-20'!$C$14)^(1/12)-1),6),6)</f>
        <v>0</v>
      </c>
      <c r="G148" s="15">
        <f t="shared" si="26"/>
        <v>0</v>
      </c>
      <c r="H148" s="22">
        <f>IF($B148=0,0,G148/POWER(1+'CALCULADORA TIPS Pesos N-20'!$F$11,Flujos!$B148/365))</f>
        <v>0</v>
      </c>
      <c r="I148" s="23">
        <f t="shared" si="23"/>
        <v>48186</v>
      </c>
      <c r="J148" s="20">
        <v>146</v>
      </c>
      <c r="K148" s="12">
        <f t="shared" si="27"/>
        <v>4441</v>
      </c>
      <c r="L148" s="76">
        <f t="shared" si="28"/>
        <v>-1.2398231774568558E-07</v>
      </c>
      <c r="M148" s="73">
        <f t="shared" si="29"/>
        <v>0</v>
      </c>
      <c r="N148" s="73">
        <f t="shared" si="30"/>
        <v>-6.073893746361136E-10</v>
      </c>
      <c r="O148" s="74">
        <f t="shared" si="31"/>
        <v>-6.073893746361136E-10</v>
      </c>
    </row>
    <row r="149" spans="1:15" ht="12.75">
      <c r="A149" s="4">
        <f t="shared" si="22"/>
        <v>48217</v>
      </c>
      <c r="B149" s="9">
        <f>IF(DIAS365('CALCULADORA TIPS Pesos N-20'!$E$6,A149)&lt;0,0,DIAS365('CALCULADORA TIPS Pesos N-20'!$E$6,A149))</f>
        <v>3438</v>
      </c>
      <c r="C149" s="5">
        <f>+HLOOKUP('CALCULADORA TIPS Pesos N-20'!$E$4,Tablas!$B$1:$C$181,Flujos!J149+1,FALSE)</f>
        <v>0</v>
      </c>
      <c r="D149" s="14">
        <f t="shared" si="24"/>
        <v>0</v>
      </c>
      <c r="E149" s="15">
        <f t="shared" si="25"/>
        <v>0</v>
      </c>
      <c r="F149" s="15">
        <f>ROUND(D148*ROUND(((1+'CALCULADORA TIPS Pesos N-20'!$C$14)^(1/12)-1),6),6)</f>
        <v>0</v>
      </c>
      <c r="G149" s="15">
        <f t="shared" si="26"/>
        <v>0</v>
      </c>
      <c r="H149" s="22">
        <f>IF($B149=0,0,G149/POWER(1+'CALCULADORA TIPS Pesos N-20'!$F$11,Flujos!$B149/365))</f>
        <v>0</v>
      </c>
      <c r="I149" s="23">
        <f t="shared" si="23"/>
        <v>48217</v>
      </c>
      <c r="J149" s="20">
        <v>147</v>
      </c>
      <c r="K149" s="12">
        <f t="shared" si="27"/>
        <v>4472</v>
      </c>
      <c r="L149" s="76">
        <f t="shared" si="28"/>
        <v>-1.2398231774568558E-07</v>
      </c>
      <c r="M149" s="73">
        <f t="shared" si="29"/>
        <v>0</v>
      </c>
      <c r="N149" s="73">
        <f t="shared" si="30"/>
        <v>-6.073893746361136E-10</v>
      </c>
      <c r="O149" s="74">
        <f t="shared" si="31"/>
        <v>-6.073893746361136E-10</v>
      </c>
    </row>
    <row r="150" spans="1:15" ht="12.75">
      <c r="A150" s="4">
        <f t="shared" si="22"/>
        <v>48248</v>
      </c>
      <c r="B150" s="9">
        <f>IF(DIAS365('CALCULADORA TIPS Pesos N-20'!$E$6,A150)&lt;0,0,DIAS365('CALCULADORA TIPS Pesos N-20'!$E$6,A150))</f>
        <v>3469</v>
      </c>
      <c r="C150" s="5">
        <f>+HLOOKUP('CALCULADORA TIPS Pesos N-20'!$E$4,Tablas!$B$1:$C$181,Flujos!J150+1,FALSE)</f>
        <v>0</v>
      </c>
      <c r="D150" s="14">
        <f t="shared" si="24"/>
        <v>0</v>
      </c>
      <c r="E150" s="15">
        <f t="shared" si="25"/>
        <v>0</v>
      </c>
      <c r="F150" s="15">
        <f>ROUND(D149*ROUND(((1+'CALCULADORA TIPS Pesos N-20'!$C$14)^(1/12)-1),6),6)</f>
        <v>0</v>
      </c>
      <c r="G150" s="15">
        <f t="shared" si="26"/>
        <v>0</v>
      </c>
      <c r="H150" s="22">
        <f>IF($B150=0,0,G150/POWER(1+'CALCULADORA TIPS Pesos N-20'!$F$11,Flujos!$B150/365))</f>
        <v>0</v>
      </c>
      <c r="I150" s="23">
        <f t="shared" si="23"/>
        <v>48248</v>
      </c>
      <c r="J150" s="20">
        <v>148</v>
      </c>
      <c r="K150" s="12">
        <f t="shared" si="27"/>
        <v>4503</v>
      </c>
      <c r="L150" s="76">
        <f t="shared" si="28"/>
        <v>-1.2398231774568558E-07</v>
      </c>
      <c r="M150" s="73">
        <f t="shared" si="29"/>
        <v>0</v>
      </c>
      <c r="N150" s="73">
        <f t="shared" si="30"/>
        <v>-6.073893746361136E-10</v>
      </c>
      <c r="O150" s="74">
        <f t="shared" si="31"/>
        <v>-6.073893746361136E-10</v>
      </c>
    </row>
    <row r="151" spans="1:15" ht="12.75">
      <c r="A151" s="4">
        <f t="shared" si="22"/>
        <v>48277</v>
      </c>
      <c r="B151" s="9">
        <f>IF(DIAS365('CALCULADORA TIPS Pesos N-20'!$E$6,A151)&lt;0,0,DIAS365('CALCULADORA TIPS Pesos N-20'!$E$6,A151))</f>
        <v>3497</v>
      </c>
      <c r="C151" s="5">
        <f>+HLOOKUP('CALCULADORA TIPS Pesos N-20'!$E$4,Tablas!$B$1:$C$181,Flujos!J151+1,FALSE)</f>
        <v>0</v>
      </c>
      <c r="D151" s="14">
        <f t="shared" si="24"/>
        <v>0</v>
      </c>
      <c r="E151" s="15">
        <f t="shared" si="25"/>
        <v>0</v>
      </c>
      <c r="F151" s="15">
        <f>ROUND(D150*ROUND(((1+'CALCULADORA TIPS Pesos N-20'!$C$14)^(1/12)-1),6),6)</f>
        <v>0</v>
      </c>
      <c r="G151" s="15">
        <f t="shared" si="26"/>
        <v>0</v>
      </c>
      <c r="H151" s="22">
        <f>IF($B151=0,0,G151/POWER(1+'CALCULADORA TIPS Pesos N-20'!$F$11,Flujos!$B151/365))</f>
        <v>0</v>
      </c>
      <c r="I151" s="23">
        <f t="shared" si="23"/>
        <v>48277</v>
      </c>
      <c r="J151" s="20">
        <v>149</v>
      </c>
      <c r="K151" s="12">
        <f t="shared" si="27"/>
        <v>4531</v>
      </c>
      <c r="L151" s="76">
        <f t="shared" si="28"/>
        <v>-1.2398231774568558E-07</v>
      </c>
      <c r="M151" s="73">
        <f t="shared" si="29"/>
        <v>0</v>
      </c>
      <c r="N151" s="73">
        <f t="shared" si="30"/>
        <v>-6.073893746361136E-10</v>
      </c>
      <c r="O151" s="74">
        <f t="shared" si="31"/>
        <v>-6.073893746361136E-10</v>
      </c>
    </row>
    <row r="152" spans="1:15" ht="12.75">
      <c r="A152" s="4">
        <f t="shared" si="22"/>
        <v>48308</v>
      </c>
      <c r="B152" s="9">
        <f>IF(DIAS365('CALCULADORA TIPS Pesos N-20'!$E$6,A152)&lt;0,0,DIAS365('CALCULADORA TIPS Pesos N-20'!$E$6,A152))</f>
        <v>3528</v>
      </c>
      <c r="C152" s="5">
        <f>+HLOOKUP('CALCULADORA TIPS Pesos N-20'!$E$4,Tablas!$B$1:$C$181,Flujos!J152+1,FALSE)</f>
        <v>0</v>
      </c>
      <c r="D152" s="14">
        <f t="shared" si="24"/>
        <v>0</v>
      </c>
      <c r="E152" s="15">
        <f t="shared" si="25"/>
        <v>0</v>
      </c>
      <c r="F152" s="15">
        <f>ROUND(D151*ROUND(((1+'CALCULADORA TIPS Pesos N-20'!$C$14)^(1/12)-1),6),6)</f>
        <v>0</v>
      </c>
      <c r="G152" s="15">
        <f t="shared" si="26"/>
        <v>0</v>
      </c>
      <c r="H152" s="22">
        <f>IF($B152=0,0,G152/POWER(1+'CALCULADORA TIPS Pesos N-20'!$F$11,Flujos!$B152/365))</f>
        <v>0</v>
      </c>
      <c r="I152" s="23">
        <f t="shared" si="23"/>
        <v>48308</v>
      </c>
      <c r="J152" s="20">
        <v>150</v>
      </c>
      <c r="K152" s="12">
        <f t="shared" si="27"/>
        <v>4562</v>
      </c>
      <c r="L152" s="76">
        <f t="shared" si="28"/>
        <v>-1.2398231774568558E-07</v>
      </c>
      <c r="M152" s="73">
        <f t="shared" si="29"/>
        <v>0</v>
      </c>
      <c r="N152" s="73">
        <f t="shared" si="30"/>
        <v>-6.073893746361136E-10</v>
      </c>
      <c r="O152" s="74">
        <f t="shared" si="31"/>
        <v>-6.073893746361136E-10</v>
      </c>
    </row>
    <row r="153" spans="1:15" ht="12.75">
      <c r="A153" s="4">
        <f t="shared" si="22"/>
        <v>48338</v>
      </c>
      <c r="B153" s="9">
        <f>IF(DIAS365('CALCULADORA TIPS Pesos N-20'!$E$6,A153)&lt;0,0,DIAS365('CALCULADORA TIPS Pesos N-20'!$E$6,A153))</f>
        <v>3558</v>
      </c>
      <c r="C153" s="5">
        <f>+HLOOKUP('CALCULADORA TIPS Pesos N-20'!$E$4,Tablas!$B$1:$C$181,Flujos!J153+1,FALSE)</f>
        <v>0</v>
      </c>
      <c r="D153" s="14">
        <f t="shared" si="24"/>
        <v>0</v>
      </c>
      <c r="E153" s="15">
        <f t="shared" si="25"/>
        <v>0</v>
      </c>
      <c r="F153" s="15">
        <f>ROUND(D152*ROUND(((1+'CALCULADORA TIPS Pesos N-20'!$C$14)^(1/12)-1),6),6)</f>
        <v>0</v>
      </c>
      <c r="G153" s="15">
        <f t="shared" si="26"/>
        <v>0</v>
      </c>
      <c r="H153" s="22">
        <f>IF($B153=0,0,G153/POWER(1+'CALCULADORA TIPS Pesos N-20'!$F$11,Flujos!$B153/365))</f>
        <v>0</v>
      </c>
      <c r="I153" s="23">
        <f t="shared" si="23"/>
        <v>48338</v>
      </c>
      <c r="J153" s="20">
        <v>151</v>
      </c>
      <c r="K153" s="12">
        <f t="shared" si="27"/>
        <v>4592</v>
      </c>
      <c r="L153" s="76">
        <f t="shared" si="28"/>
        <v>-1.2398231774568558E-07</v>
      </c>
      <c r="M153" s="73">
        <f t="shared" si="29"/>
        <v>0</v>
      </c>
      <c r="N153" s="73">
        <f t="shared" si="30"/>
        <v>-6.073893746361136E-10</v>
      </c>
      <c r="O153" s="74">
        <f t="shared" si="31"/>
        <v>-6.073893746361136E-10</v>
      </c>
    </row>
    <row r="154" spans="1:15" ht="12.75">
      <c r="A154" s="4">
        <f t="shared" si="22"/>
        <v>48369</v>
      </c>
      <c r="B154" s="9">
        <f>IF(DIAS365('CALCULADORA TIPS Pesos N-20'!$E$6,A154)&lt;0,0,DIAS365('CALCULADORA TIPS Pesos N-20'!$E$6,A154))</f>
        <v>3589</v>
      </c>
      <c r="C154" s="5">
        <f>+HLOOKUP('CALCULADORA TIPS Pesos N-20'!$E$4,Tablas!$B$1:$C$181,Flujos!J154+1,FALSE)</f>
        <v>0</v>
      </c>
      <c r="D154" s="14">
        <f t="shared" si="24"/>
        <v>0</v>
      </c>
      <c r="E154" s="15">
        <f t="shared" si="25"/>
        <v>0</v>
      </c>
      <c r="F154" s="15">
        <f>ROUND(D153*ROUND(((1+'CALCULADORA TIPS Pesos N-20'!$C$14)^(1/12)-1),6),6)</f>
        <v>0</v>
      </c>
      <c r="G154" s="15">
        <f t="shared" si="26"/>
        <v>0</v>
      </c>
      <c r="H154" s="22">
        <f>IF($B154=0,0,G154/POWER(1+'CALCULADORA TIPS Pesos N-20'!$F$11,Flujos!$B154/365))</f>
        <v>0</v>
      </c>
      <c r="I154" s="23">
        <f t="shared" si="23"/>
        <v>48369</v>
      </c>
      <c r="J154" s="20">
        <v>152</v>
      </c>
      <c r="K154" s="12">
        <f t="shared" si="27"/>
        <v>4623</v>
      </c>
      <c r="L154" s="76">
        <f t="shared" si="28"/>
        <v>-1.2398231774568558E-07</v>
      </c>
      <c r="M154" s="73">
        <f t="shared" si="29"/>
        <v>0</v>
      </c>
      <c r="N154" s="73">
        <f t="shared" si="30"/>
        <v>-6.073893746361136E-10</v>
      </c>
      <c r="O154" s="74">
        <f t="shared" si="31"/>
        <v>-6.073893746361136E-10</v>
      </c>
    </row>
    <row r="155" spans="1:15" ht="12.75">
      <c r="A155" s="4">
        <f t="shared" si="22"/>
        <v>48399</v>
      </c>
      <c r="B155" s="9">
        <f>IF(DIAS365('CALCULADORA TIPS Pesos N-20'!$E$6,A155)&lt;0,0,DIAS365('CALCULADORA TIPS Pesos N-20'!$E$6,A155))</f>
        <v>3619</v>
      </c>
      <c r="C155" s="5">
        <f>+HLOOKUP('CALCULADORA TIPS Pesos N-20'!$E$4,Tablas!$B$1:$C$181,Flujos!J155+1,FALSE)</f>
        <v>0</v>
      </c>
      <c r="D155" s="14">
        <f t="shared" si="24"/>
        <v>0</v>
      </c>
      <c r="E155" s="15">
        <f t="shared" si="25"/>
        <v>0</v>
      </c>
      <c r="F155" s="15">
        <f>ROUND(D154*ROUND(((1+'CALCULADORA TIPS Pesos N-20'!$C$14)^(1/12)-1),6),6)</f>
        <v>0</v>
      </c>
      <c r="G155" s="15">
        <f t="shared" si="26"/>
        <v>0</v>
      </c>
      <c r="H155" s="22">
        <f>IF($B155=0,0,G155/POWER(1+'CALCULADORA TIPS Pesos N-20'!$F$11,Flujos!$B155/365))</f>
        <v>0</v>
      </c>
      <c r="I155" s="23">
        <f t="shared" si="23"/>
        <v>48399</v>
      </c>
      <c r="J155" s="20">
        <v>153</v>
      </c>
      <c r="K155" s="12">
        <f t="shared" si="27"/>
        <v>4653</v>
      </c>
      <c r="L155" s="76">
        <f t="shared" si="28"/>
        <v>-1.2398231774568558E-07</v>
      </c>
      <c r="M155" s="73">
        <f t="shared" si="29"/>
        <v>0</v>
      </c>
      <c r="N155" s="73">
        <f t="shared" si="30"/>
        <v>-6.073893746361136E-10</v>
      </c>
      <c r="O155" s="74">
        <f t="shared" si="31"/>
        <v>-6.073893746361136E-10</v>
      </c>
    </row>
    <row r="156" spans="1:15" ht="12.75">
      <c r="A156" s="4">
        <f t="shared" si="22"/>
        <v>48430</v>
      </c>
      <c r="B156" s="9">
        <f>IF(DIAS365('CALCULADORA TIPS Pesos N-20'!$E$6,A156)&lt;0,0,DIAS365('CALCULADORA TIPS Pesos N-20'!$E$6,A156))</f>
        <v>3650</v>
      </c>
      <c r="C156" s="5">
        <f>+HLOOKUP('CALCULADORA TIPS Pesos N-20'!$E$4,Tablas!$B$1:$C$181,Flujos!J156+1,FALSE)</f>
        <v>0</v>
      </c>
      <c r="D156" s="14">
        <f t="shared" si="24"/>
        <v>0</v>
      </c>
      <c r="E156" s="15">
        <f t="shared" si="25"/>
        <v>0</v>
      </c>
      <c r="F156" s="15">
        <f>ROUND(D155*ROUND(((1+'CALCULADORA TIPS Pesos N-20'!$C$14)^(1/12)-1),6),6)</f>
        <v>0</v>
      </c>
      <c r="G156" s="15">
        <f t="shared" si="26"/>
        <v>0</v>
      </c>
      <c r="H156" s="22">
        <f>IF($B156=0,0,G156/POWER(1+'CALCULADORA TIPS Pesos N-20'!$F$11,Flujos!$B156/365))</f>
        <v>0</v>
      </c>
      <c r="I156" s="23">
        <f t="shared" si="23"/>
        <v>48430</v>
      </c>
      <c r="J156" s="20">
        <v>154</v>
      </c>
      <c r="K156" s="12">
        <f t="shared" si="27"/>
        <v>4684</v>
      </c>
      <c r="L156" s="76">
        <f t="shared" si="28"/>
        <v>-1.2398231774568558E-07</v>
      </c>
      <c r="M156" s="73">
        <f t="shared" si="29"/>
        <v>0</v>
      </c>
      <c r="N156" s="73">
        <f t="shared" si="30"/>
        <v>-6.073893746361136E-10</v>
      </c>
      <c r="O156" s="74">
        <f t="shared" si="31"/>
        <v>-6.073893746361136E-10</v>
      </c>
    </row>
    <row r="157" spans="1:15" ht="12.75">
      <c r="A157" s="4">
        <f t="shared" si="22"/>
        <v>48461</v>
      </c>
      <c r="B157" s="9">
        <f>IF(DIAS365('CALCULADORA TIPS Pesos N-20'!$E$6,A157)&lt;0,0,DIAS365('CALCULADORA TIPS Pesos N-20'!$E$6,A157))</f>
        <v>3681</v>
      </c>
      <c r="C157" s="5">
        <f>+HLOOKUP('CALCULADORA TIPS Pesos N-20'!$E$4,Tablas!$B$1:$C$181,Flujos!J157+1,FALSE)</f>
        <v>0</v>
      </c>
      <c r="D157" s="14">
        <f t="shared" si="24"/>
        <v>0</v>
      </c>
      <c r="E157" s="15">
        <f t="shared" si="25"/>
        <v>0</v>
      </c>
      <c r="F157" s="15">
        <f>ROUND(D156*ROUND(((1+'CALCULADORA TIPS Pesos N-20'!$C$14)^(1/12)-1),6),6)</f>
        <v>0</v>
      </c>
      <c r="G157" s="15">
        <f t="shared" si="26"/>
        <v>0</v>
      </c>
      <c r="H157" s="22">
        <f>IF($B157=0,0,G157/POWER(1+'CALCULADORA TIPS Pesos N-20'!$F$11,Flujos!$B157/365))</f>
        <v>0</v>
      </c>
      <c r="I157" s="23">
        <f t="shared" si="23"/>
        <v>48461</v>
      </c>
      <c r="J157" s="20">
        <v>155</v>
      </c>
      <c r="K157" s="12">
        <f t="shared" si="27"/>
        <v>4715</v>
      </c>
      <c r="L157" s="76">
        <f t="shared" si="28"/>
        <v>-1.2398231774568558E-07</v>
      </c>
      <c r="M157" s="73">
        <f t="shared" si="29"/>
        <v>0</v>
      </c>
      <c r="N157" s="73">
        <f t="shared" si="30"/>
        <v>-6.073893746361136E-10</v>
      </c>
      <c r="O157" s="74">
        <f t="shared" si="31"/>
        <v>-6.073893746361136E-10</v>
      </c>
    </row>
    <row r="158" spans="1:15" ht="12.75">
      <c r="A158" s="4">
        <f t="shared" si="22"/>
        <v>48491</v>
      </c>
      <c r="B158" s="9">
        <f>IF(DIAS365('CALCULADORA TIPS Pesos N-20'!$E$6,A158)&lt;0,0,DIAS365('CALCULADORA TIPS Pesos N-20'!$E$6,A158))</f>
        <v>3711</v>
      </c>
      <c r="C158" s="5">
        <f>+HLOOKUP('CALCULADORA TIPS Pesos N-20'!$E$4,Tablas!$B$1:$C$181,Flujos!J158+1,FALSE)</f>
        <v>0</v>
      </c>
      <c r="D158" s="14">
        <f t="shared" si="24"/>
        <v>0</v>
      </c>
      <c r="E158" s="15">
        <f t="shared" si="25"/>
        <v>0</v>
      </c>
      <c r="F158" s="15">
        <f>ROUND(D157*ROUND(((1+'CALCULADORA TIPS Pesos N-20'!$C$14)^(1/12)-1),6),6)</f>
        <v>0</v>
      </c>
      <c r="G158" s="15">
        <f t="shared" si="26"/>
        <v>0</v>
      </c>
      <c r="H158" s="22">
        <f>IF($B158=0,0,G158/POWER(1+'CALCULADORA TIPS Pesos N-20'!$F$11,Flujos!$B158/365))</f>
        <v>0</v>
      </c>
      <c r="I158" s="23">
        <f t="shared" si="23"/>
        <v>48491</v>
      </c>
      <c r="J158" s="20">
        <v>156</v>
      </c>
      <c r="K158" s="12">
        <f t="shared" si="27"/>
        <v>4745</v>
      </c>
      <c r="L158" s="76">
        <f t="shared" si="28"/>
        <v>-1.2398231774568558E-07</v>
      </c>
      <c r="M158" s="73">
        <f t="shared" si="29"/>
        <v>0</v>
      </c>
      <c r="N158" s="73">
        <f t="shared" si="30"/>
        <v>-6.073893746361136E-10</v>
      </c>
      <c r="O158" s="74">
        <f t="shared" si="31"/>
        <v>-6.073893746361136E-10</v>
      </c>
    </row>
    <row r="159" spans="1:15" ht="12.75">
      <c r="A159" s="4">
        <f t="shared" si="22"/>
        <v>48522</v>
      </c>
      <c r="B159" s="9">
        <f>IF(DIAS365('CALCULADORA TIPS Pesos N-20'!$E$6,A159)&lt;0,0,DIAS365('CALCULADORA TIPS Pesos N-20'!$E$6,A159))</f>
        <v>3742</v>
      </c>
      <c r="C159" s="5">
        <f>+HLOOKUP('CALCULADORA TIPS Pesos N-20'!$E$4,Tablas!$B$1:$C$181,Flujos!J159+1,FALSE)</f>
        <v>0</v>
      </c>
      <c r="D159" s="14">
        <f t="shared" si="24"/>
        <v>0</v>
      </c>
      <c r="E159" s="15">
        <f t="shared" si="25"/>
        <v>0</v>
      </c>
      <c r="F159" s="15">
        <f>ROUND(D158*ROUND(((1+'CALCULADORA TIPS Pesos N-20'!$C$14)^(1/12)-1),6),6)</f>
        <v>0</v>
      </c>
      <c r="G159" s="15">
        <f t="shared" si="26"/>
        <v>0</v>
      </c>
      <c r="H159" s="22">
        <f>IF($B159=0,0,G159/POWER(1+'CALCULADORA TIPS Pesos N-20'!$F$11,Flujos!$B159/365))</f>
        <v>0</v>
      </c>
      <c r="I159" s="23">
        <f t="shared" si="23"/>
        <v>48522</v>
      </c>
      <c r="J159" s="20">
        <v>157</v>
      </c>
      <c r="K159" s="12">
        <f t="shared" si="27"/>
        <v>4776</v>
      </c>
      <c r="L159" s="76">
        <f t="shared" si="28"/>
        <v>-1.2398231774568558E-07</v>
      </c>
      <c r="M159" s="73">
        <f t="shared" si="29"/>
        <v>0</v>
      </c>
      <c r="N159" s="73">
        <f t="shared" si="30"/>
        <v>-6.073893746361136E-10</v>
      </c>
      <c r="O159" s="74">
        <f t="shared" si="31"/>
        <v>-6.073893746361136E-10</v>
      </c>
    </row>
    <row r="160" spans="1:15" ht="12.75">
      <c r="A160" s="4">
        <f t="shared" si="22"/>
        <v>48552</v>
      </c>
      <c r="B160" s="9">
        <f>IF(DIAS365('CALCULADORA TIPS Pesos N-20'!$E$6,A160)&lt;0,0,DIAS365('CALCULADORA TIPS Pesos N-20'!$E$6,A160))</f>
        <v>3772</v>
      </c>
      <c r="C160" s="5">
        <f>+HLOOKUP('CALCULADORA TIPS Pesos N-20'!$E$4,Tablas!$B$1:$C$181,Flujos!J160+1,FALSE)</f>
        <v>0</v>
      </c>
      <c r="D160" s="14">
        <f t="shared" si="24"/>
        <v>0</v>
      </c>
      <c r="E160" s="15">
        <f t="shared" si="25"/>
        <v>0</v>
      </c>
      <c r="F160" s="15">
        <f>ROUND(D159*ROUND(((1+'CALCULADORA TIPS Pesos N-20'!$C$14)^(1/12)-1),6),6)</f>
        <v>0</v>
      </c>
      <c r="G160" s="15">
        <f t="shared" si="26"/>
        <v>0</v>
      </c>
      <c r="H160" s="22">
        <f>IF($B160=0,0,G160/POWER(1+'CALCULADORA TIPS Pesos N-20'!$F$11,Flujos!$B160/365))</f>
        <v>0</v>
      </c>
      <c r="I160" s="23">
        <f t="shared" si="23"/>
        <v>48552</v>
      </c>
      <c r="J160" s="20">
        <v>158</v>
      </c>
      <c r="K160" s="12">
        <f t="shared" si="27"/>
        <v>4806</v>
      </c>
      <c r="L160" s="76">
        <f t="shared" si="28"/>
        <v>-1.2398231774568558E-07</v>
      </c>
      <c r="M160" s="73">
        <f t="shared" si="29"/>
        <v>0</v>
      </c>
      <c r="N160" s="73">
        <f t="shared" si="30"/>
        <v>-6.073893746361136E-10</v>
      </c>
      <c r="O160" s="74">
        <f t="shared" si="31"/>
        <v>-6.073893746361136E-10</v>
      </c>
    </row>
    <row r="161" spans="1:15" ht="12.75">
      <c r="A161" s="4">
        <f t="shared" si="22"/>
        <v>48583</v>
      </c>
      <c r="B161" s="9">
        <f>IF(DIAS365('CALCULADORA TIPS Pesos N-20'!$E$6,A161)&lt;0,0,DIAS365('CALCULADORA TIPS Pesos N-20'!$E$6,A161))</f>
        <v>3803</v>
      </c>
      <c r="C161" s="5">
        <f>+HLOOKUP('CALCULADORA TIPS Pesos N-20'!$E$4,Tablas!$B$1:$C$181,Flujos!J161+1,FALSE)</f>
        <v>0</v>
      </c>
      <c r="D161" s="14">
        <f t="shared" si="24"/>
        <v>0</v>
      </c>
      <c r="E161" s="15">
        <f t="shared" si="25"/>
        <v>0</v>
      </c>
      <c r="F161" s="15">
        <f>ROUND(D160*ROUND(((1+'CALCULADORA TIPS Pesos N-20'!$C$14)^(1/12)-1),6),6)</f>
        <v>0</v>
      </c>
      <c r="G161" s="15">
        <f t="shared" si="26"/>
        <v>0</v>
      </c>
      <c r="H161" s="22">
        <f>IF($B161=0,0,G161/POWER(1+'CALCULADORA TIPS Pesos N-20'!$F$11,Flujos!$B161/365))</f>
        <v>0</v>
      </c>
      <c r="I161" s="23">
        <f t="shared" si="23"/>
        <v>48583</v>
      </c>
      <c r="J161" s="20">
        <v>159</v>
      </c>
      <c r="K161" s="12">
        <f t="shared" si="27"/>
        <v>4837</v>
      </c>
      <c r="L161" s="76">
        <f t="shared" si="28"/>
        <v>-1.2398231774568558E-07</v>
      </c>
      <c r="M161" s="73">
        <f t="shared" si="29"/>
        <v>0</v>
      </c>
      <c r="N161" s="73">
        <f t="shared" si="30"/>
        <v>-6.073893746361136E-10</v>
      </c>
      <c r="O161" s="74">
        <f t="shared" si="31"/>
        <v>-6.073893746361136E-10</v>
      </c>
    </row>
    <row r="162" spans="1:15" ht="12.75">
      <c r="A162" s="4">
        <f t="shared" si="22"/>
        <v>48614</v>
      </c>
      <c r="B162" s="9">
        <f>IF(DIAS365('CALCULADORA TIPS Pesos N-20'!$E$6,A162)&lt;0,0,DIAS365('CALCULADORA TIPS Pesos N-20'!$E$6,A162))</f>
        <v>3834</v>
      </c>
      <c r="C162" s="5">
        <f>+HLOOKUP('CALCULADORA TIPS Pesos N-20'!$E$4,Tablas!$B$1:$C$181,Flujos!J162+1,FALSE)</f>
        <v>0</v>
      </c>
      <c r="D162" s="14">
        <f t="shared" si="24"/>
        <v>0</v>
      </c>
      <c r="E162" s="15">
        <f t="shared" si="25"/>
        <v>0</v>
      </c>
      <c r="F162" s="15">
        <f>ROUND(D161*ROUND(((1+'CALCULADORA TIPS Pesos N-20'!$C$14)^(1/12)-1),6),6)</f>
        <v>0</v>
      </c>
      <c r="G162" s="15">
        <f t="shared" si="26"/>
        <v>0</v>
      </c>
      <c r="H162" s="22">
        <f>IF($B162=0,0,G162/POWER(1+'CALCULADORA TIPS Pesos N-20'!$F$11,Flujos!$B162/365))</f>
        <v>0</v>
      </c>
      <c r="I162" s="23">
        <f t="shared" si="23"/>
        <v>48614</v>
      </c>
      <c r="J162" s="20">
        <v>160</v>
      </c>
      <c r="K162" s="12">
        <f t="shared" si="27"/>
        <v>4868</v>
      </c>
      <c r="L162" s="76">
        <f t="shared" si="28"/>
        <v>-1.2398231774568558E-07</v>
      </c>
      <c r="M162" s="73">
        <f t="shared" si="29"/>
        <v>0</v>
      </c>
      <c r="N162" s="73">
        <f t="shared" si="30"/>
        <v>-6.073893746361136E-10</v>
      </c>
      <c r="O162" s="74">
        <f t="shared" si="31"/>
        <v>-6.073893746361136E-10</v>
      </c>
    </row>
    <row r="163" spans="1:15" ht="12.75">
      <c r="A163" s="4">
        <f aca="true" t="shared" si="32" ref="A163:A182">_XLL.FECHA.MES(A162,1)</f>
        <v>48642</v>
      </c>
      <c r="B163" s="9">
        <f>IF(DIAS365('CALCULADORA TIPS Pesos N-20'!$E$6,A163)&lt;0,0,DIAS365('CALCULADORA TIPS Pesos N-20'!$E$6,A163))</f>
        <v>3862</v>
      </c>
      <c r="C163" s="5">
        <f>+HLOOKUP('CALCULADORA TIPS Pesos N-20'!$E$4,Tablas!$B$1:$C$181,Flujos!J163+1,FALSE)</f>
        <v>0</v>
      </c>
      <c r="D163" s="14">
        <f t="shared" si="24"/>
        <v>0</v>
      </c>
      <c r="E163" s="15">
        <f t="shared" si="25"/>
        <v>0</v>
      </c>
      <c r="F163" s="15">
        <f>ROUND(D162*ROUND(((1+'CALCULADORA TIPS Pesos N-20'!$C$14)^(1/12)-1),6),6)</f>
        <v>0</v>
      </c>
      <c r="G163" s="15">
        <f t="shared" si="26"/>
        <v>0</v>
      </c>
      <c r="H163" s="22">
        <f>IF($B163=0,0,G163/POWER(1+'CALCULADORA TIPS Pesos N-20'!$F$11,Flujos!$B163/365))</f>
        <v>0</v>
      </c>
      <c r="I163" s="23">
        <f t="shared" si="23"/>
        <v>48642</v>
      </c>
      <c r="J163" s="20">
        <v>161</v>
      </c>
      <c r="K163" s="12">
        <f t="shared" si="27"/>
        <v>4896</v>
      </c>
      <c r="L163" s="76">
        <f t="shared" si="28"/>
        <v>-1.2398231774568558E-07</v>
      </c>
      <c r="M163" s="73">
        <f t="shared" si="29"/>
        <v>0</v>
      </c>
      <c r="N163" s="73">
        <f t="shared" si="30"/>
        <v>-6.073893746361136E-10</v>
      </c>
      <c r="O163" s="74">
        <f t="shared" si="31"/>
        <v>-6.073893746361136E-10</v>
      </c>
    </row>
    <row r="164" spans="1:15" ht="12.75">
      <c r="A164" s="4">
        <f t="shared" si="32"/>
        <v>48673</v>
      </c>
      <c r="B164" s="9">
        <f>IF(DIAS365('CALCULADORA TIPS Pesos N-20'!$E$6,A164)&lt;0,0,DIAS365('CALCULADORA TIPS Pesos N-20'!$E$6,A164))</f>
        <v>3893</v>
      </c>
      <c r="C164" s="5">
        <f>+HLOOKUP('CALCULADORA TIPS Pesos N-20'!$E$4,Tablas!$B$1:$C$181,Flujos!J164+1,FALSE)</f>
        <v>0</v>
      </c>
      <c r="D164" s="14">
        <f t="shared" si="24"/>
        <v>0</v>
      </c>
      <c r="E164" s="15">
        <f t="shared" si="25"/>
        <v>0</v>
      </c>
      <c r="F164" s="15">
        <f>ROUND(D163*ROUND(((1+'CALCULADORA TIPS Pesos N-20'!$C$14)^(1/12)-1),6),6)</f>
        <v>0</v>
      </c>
      <c r="G164" s="15">
        <f t="shared" si="26"/>
        <v>0</v>
      </c>
      <c r="H164" s="22">
        <f>IF($B164=0,0,G164/POWER(1+'CALCULADORA TIPS Pesos N-20'!$F$11,Flujos!$B164/365))</f>
        <v>0</v>
      </c>
      <c r="I164" s="23">
        <f t="shared" si="23"/>
        <v>48673</v>
      </c>
      <c r="J164" s="20">
        <v>162</v>
      </c>
      <c r="K164" s="12">
        <f t="shared" si="27"/>
        <v>4927</v>
      </c>
      <c r="L164" s="76">
        <f t="shared" si="28"/>
        <v>-1.2398231774568558E-07</v>
      </c>
      <c r="M164" s="73">
        <f t="shared" si="29"/>
        <v>0</v>
      </c>
      <c r="N164" s="73">
        <f t="shared" si="30"/>
        <v>-6.073893746361136E-10</v>
      </c>
      <c r="O164" s="74">
        <f t="shared" si="31"/>
        <v>-6.073893746361136E-10</v>
      </c>
    </row>
    <row r="165" spans="1:15" ht="12.75">
      <c r="A165" s="4">
        <f t="shared" si="32"/>
        <v>48703</v>
      </c>
      <c r="B165" s="9">
        <f>IF(DIAS365('CALCULADORA TIPS Pesos N-20'!$E$6,A165)&lt;0,0,DIAS365('CALCULADORA TIPS Pesos N-20'!$E$6,A165))</f>
        <v>3923</v>
      </c>
      <c r="C165" s="5">
        <f>+HLOOKUP('CALCULADORA TIPS Pesos N-20'!$E$4,Tablas!$B$1:$C$181,Flujos!J165+1,FALSE)</f>
        <v>0</v>
      </c>
      <c r="D165" s="14">
        <f t="shared" si="24"/>
        <v>0</v>
      </c>
      <c r="E165" s="15">
        <f t="shared" si="25"/>
        <v>0</v>
      </c>
      <c r="F165" s="15">
        <f>ROUND(D164*ROUND(((1+'CALCULADORA TIPS Pesos N-20'!$C$14)^(1/12)-1),6),6)</f>
        <v>0</v>
      </c>
      <c r="G165" s="15">
        <f t="shared" si="26"/>
        <v>0</v>
      </c>
      <c r="H165" s="22">
        <f>IF($B165=0,0,G165/POWER(1+'CALCULADORA TIPS Pesos N-20'!$F$11,Flujos!$B165/365))</f>
        <v>0</v>
      </c>
      <c r="I165" s="23">
        <f t="shared" si="23"/>
        <v>48703</v>
      </c>
      <c r="J165" s="20">
        <v>163</v>
      </c>
      <c r="K165" s="12">
        <f t="shared" si="27"/>
        <v>4957</v>
      </c>
      <c r="L165" s="76">
        <f t="shared" si="28"/>
        <v>-1.2398231774568558E-07</v>
      </c>
      <c r="M165" s="73">
        <f t="shared" si="29"/>
        <v>0</v>
      </c>
      <c r="N165" s="73">
        <f t="shared" si="30"/>
        <v>-6.073893746361136E-10</v>
      </c>
      <c r="O165" s="74">
        <f t="shared" si="31"/>
        <v>-6.073893746361136E-10</v>
      </c>
    </row>
    <row r="166" spans="1:15" ht="12.75">
      <c r="A166" s="4">
        <f t="shared" si="32"/>
        <v>48734</v>
      </c>
      <c r="B166" s="9">
        <f>IF(DIAS365('CALCULADORA TIPS Pesos N-20'!$E$6,A166)&lt;0,0,DIAS365('CALCULADORA TIPS Pesos N-20'!$E$6,A166))</f>
        <v>3954</v>
      </c>
      <c r="C166" s="5">
        <f>+HLOOKUP('CALCULADORA TIPS Pesos N-20'!$E$4,Tablas!$B$1:$C$181,Flujos!J166+1,FALSE)</f>
        <v>0</v>
      </c>
      <c r="D166" s="14">
        <f t="shared" si="24"/>
        <v>0</v>
      </c>
      <c r="E166" s="15">
        <f t="shared" si="25"/>
        <v>0</v>
      </c>
      <c r="F166" s="15">
        <f>ROUND(D165*ROUND(((1+'CALCULADORA TIPS Pesos N-20'!$C$14)^(1/12)-1),6),6)</f>
        <v>0</v>
      </c>
      <c r="G166" s="15">
        <f t="shared" si="26"/>
        <v>0</v>
      </c>
      <c r="H166" s="22">
        <f>IF($B166=0,0,G166/POWER(1+'CALCULADORA TIPS Pesos N-20'!$F$11,Flujos!$B166/365))</f>
        <v>0</v>
      </c>
      <c r="I166" s="23">
        <f t="shared" si="23"/>
        <v>48734</v>
      </c>
      <c r="J166" s="20">
        <v>164</v>
      </c>
      <c r="K166" s="12">
        <f t="shared" si="27"/>
        <v>4988</v>
      </c>
      <c r="L166" s="76">
        <f t="shared" si="28"/>
        <v>-1.2398231774568558E-07</v>
      </c>
      <c r="M166" s="73">
        <f t="shared" si="29"/>
        <v>0</v>
      </c>
      <c r="N166" s="73">
        <f t="shared" si="30"/>
        <v>-6.073893746361136E-10</v>
      </c>
      <c r="O166" s="74">
        <f t="shared" si="31"/>
        <v>-6.073893746361136E-10</v>
      </c>
    </row>
    <row r="167" spans="1:15" ht="12.75">
      <c r="A167" s="4">
        <f t="shared" si="32"/>
        <v>48764</v>
      </c>
      <c r="B167" s="9">
        <f>IF(DIAS365('CALCULADORA TIPS Pesos N-20'!$E$6,A167)&lt;0,0,DIAS365('CALCULADORA TIPS Pesos N-20'!$E$6,A167))</f>
        <v>3984</v>
      </c>
      <c r="C167" s="5">
        <f>+HLOOKUP('CALCULADORA TIPS Pesos N-20'!$E$4,Tablas!$B$1:$C$181,Flujos!J167+1,FALSE)</f>
        <v>0</v>
      </c>
      <c r="D167" s="14">
        <f t="shared" si="24"/>
        <v>0</v>
      </c>
      <c r="E167" s="15">
        <f t="shared" si="25"/>
        <v>0</v>
      </c>
      <c r="F167" s="15">
        <f>ROUND(D166*ROUND(((1+'CALCULADORA TIPS Pesos N-20'!$C$14)^(1/12)-1),6),6)</f>
        <v>0</v>
      </c>
      <c r="G167" s="15">
        <f t="shared" si="26"/>
        <v>0</v>
      </c>
      <c r="H167" s="22">
        <f>IF($B167=0,0,G167/POWER(1+'CALCULADORA TIPS Pesos N-20'!$F$11,Flujos!$B167/365))</f>
        <v>0</v>
      </c>
      <c r="I167" s="23">
        <f t="shared" si="23"/>
        <v>48764</v>
      </c>
      <c r="J167" s="20">
        <v>165</v>
      </c>
      <c r="K167" s="12">
        <f t="shared" si="27"/>
        <v>5018</v>
      </c>
      <c r="L167" s="76">
        <f t="shared" si="28"/>
        <v>-1.2398231774568558E-07</v>
      </c>
      <c r="M167" s="73">
        <f t="shared" si="29"/>
        <v>0</v>
      </c>
      <c r="N167" s="73">
        <f t="shared" si="30"/>
        <v>-6.073893746361136E-10</v>
      </c>
      <c r="O167" s="74">
        <f t="shared" si="31"/>
        <v>-6.073893746361136E-10</v>
      </c>
    </row>
    <row r="168" spans="1:15" ht="12.75">
      <c r="A168" s="4">
        <f t="shared" si="32"/>
        <v>48795</v>
      </c>
      <c r="B168" s="9">
        <f>IF(DIAS365('CALCULADORA TIPS Pesos N-20'!$E$6,A168)&lt;0,0,DIAS365('CALCULADORA TIPS Pesos N-20'!$E$6,A168))</f>
        <v>4015</v>
      </c>
      <c r="C168" s="5">
        <f>+HLOOKUP('CALCULADORA TIPS Pesos N-20'!$E$4,Tablas!$B$1:$C$181,Flujos!J168+1,FALSE)</f>
        <v>0</v>
      </c>
      <c r="D168" s="14">
        <f t="shared" si="24"/>
        <v>0</v>
      </c>
      <c r="E168" s="15">
        <f t="shared" si="25"/>
        <v>0</v>
      </c>
      <c r="F168" s="15">
        <f>ROUND(D167*ROUND(((1+'CALCULADORA TIPS Pesos N-20'!$C$14)^(1/12)-1),6),6)</f>
        <v>0</v>
      </c>
      <c r="G168" s="15">
        <f t="shared" si="26"/>
        <v>0</v>
      </c>
      <c r="H168" s="22">
        <f>IF($B168=0,0,G168/POWER(1+'CALCULADORA TIPS Pesos N-20'!$F$11,Flujos!$B168/365))</f>
        <v>0</v>
      </c>
      <c r="I168" s="23">
        <f t="shared" si="23"/>
        <v>48795</v>
      </c>
      <c r="J168" s="20">
        <v>166</v>
      </c>
      <c r="K168" s="12">
        <f t="shared" si="27"/>
        <v>5049</v>
      </c>
      <c r="L168" s="76">
        <f t="shared" si="28"/>
        <v>-1.2398231774568558E-07</v>
      </c>
      <c r="M168" s="73">
        <f t="shared" si="29"/>
        <v>0</v>
      </c>
      <c r="N168" s="73">
        <f t="shared" si="30"/>
        <v>-6.073893746361136E-10</v>
      </c>
      <c r="O168" s="74">
        <f t="shared" si="31"/>
        <v>-6.073893746361136E-10</v>
      </c>
    </row>
    <row r="169" spans="1:15" ht="12.75">
      <c r="A169" s="4">
        <f t="shared" si="32"/>
        <v>48826</v>
      </c>
      <c r="B169" s="9">
        <f>IF(DIAS365('CALCULADORA TIPS Pesos N-20'!$E$6,A169)&lt;0,0,DIAS365('CALCULADORA TIPS Pesos N-20'!$E$6,A169))</f>
        <v>4046</v>
      </c>
      <c r="C169" s="5">
        <f>+HLOOKUP('CALCULADORA TIPS Pesos N-20'!$E$4,Tablas!$B$1:$C$181,Flujos!J169+1,FALSE)</f>
        <v>0</v>
      </c>
      <c r="D169" s="14">
        <f t="shared" si="24"/>
        <v>0</v>
      </c>
      <c r="E169" s="15">
        <f t="shared" si="25"/>
        <v>0</v>
      </c>
      <c r="F169" s="15">
        <f>ROUND(D168*ROUND(((1+'CALCULADORA TIPS Pesos N-20'!$C$14)^(1/12)-1),6),6)</f>
        <v>0</v>
      </c>
      <c r="G169" s="15">
        <f t="shared" si="26"/>
        <v>0</v>
      </c>
      <c r="H169" s="22">
        <f>IF($B169=0,0,G169/POWER(1+'CALCULADORA TIPS Pesos N-20'!$F$11,Flujos!$B169/365))</f>
        <v>0</v>
      </c>
      <c r="I169" s="23">
        <f t="shared" si="23"/>
        <v>48826</v>
      </c>
      <c r="J169" s="20">
        <v>167</v>
      </c>
      <c r="K169" s="12">
        <f t="shared" si="27"/>
        <v>5080</v>
      </c>
      <c r="L169" s="76">
        <f t="shared" si="28"/>
        <v>-1.2398231774568558E-07</v>
      </c>
      <c r="M169" s="73">
        <f t="shared" si="29"/>
        <v>0</v>
      </c>
      <c r="N169" s="73">
        <f t="shared" si="30"/>
        <v>-6.073893746361136E-10</v>
      </c>
      <c r="O169" s="74">
        <f t="shared" si="31"/>
        <v>-6.073893746361136E-10</v>
      </c>
    </row>
    <row r="170" spans="1:15" ht="12.75">
      <c r="A170" s="4">
        <f t="shared" si="32"/>
        <v>48856</v>
      </c>
      <c r="B170" s="9">
        <f>IF(DIAS365('CALCULADORA TIPS Pesos N-20'!$E$6,A170)&lt;0,0,DIAS365('CALCULADORA TIPS Pesos N-20'!$E$6,A170))</f>
        <v>4076</v>
      </c>
      <c r="C170" s="5">
        <f>+HLOOKUP('CALCULADORA TIPS Pesos N-20'!$E$4,Tablas!$B$1:$C$181,Flujos!J170+1,FALSE)</f>
        <v>0</v>
      </c>
      <c r="D170" s="14">
        <f t="shared" si="24"/>
        <v>0</v>
      </c>
      <c r="E170" s="15">
        <f t="shared" si="25"/>
        <v>0</v>
      </c>
      <c r="F170" s="15">
        <f>ROUND(D169*ROUND(((1+'CALCULADORA TIPS Pesos N-20'!$C$14)^(1/12)-1),6),6)</f>
        <v>0</v>
      </c>
      <c r="G170" s="15">
        <f t="shared" si="26"/>
        <v>0</v>
      </c>
      <c r="H170" s="22">
        <f>IF($B170=0,0,G170/POWER(1+'CALCULADORA TIPS Pesos N-20'!$F$11,Flujos!$B170/365))</f>
        <v>0</v>
      </c>
      <c r="I170" s="23">
        <f t="shared" si="23"/>
        <v>48856</v>
      </c>
      <c r="J170" s="20">
        <v>168</v>
      </c>
      <c r="K170" s="12">
        <f t="shared" si="27"/>
        <v>5110</v>
      </c>
      <c r="L170" s="76">
        <f t="shared" si="28"/>
        <v>-1.2398231774568558E-07</v>
      </c>
      <c r="M170" s="73">
        <f t="shared" si="29"/>
        <v>0</v>
      </c>
      <c r="N170" s="73">
        <f t="shared" si="30"/>
        <v>-6.073893746361136E-10</v>
      </c>
      <c r="O170" s="74">
        <f t="shared" si="31"/>
        <v>-6.073893746361136E-10</v>
      </c>
    </row>
    <row r="171" spans="1:15" ht="12.75">
      <c r="A171" s="4">
        <f t="shared" si="32"/>
        <v>48887</v>
      </c>
      <c r="B171" s="9">
        <f>IF(DIAS365('CALCULADORA TIPS Pesos N-20'!$E$6,A171)&lt;0,0,DIAS365('CALCULADORA TIPS Pesos N-20'!$E$6,A171))</f>
        <v>4107</v>
      </c>
      <c r="C171" s="5">
        <f>+HLOOKUP('CALCULADORA TIPS Pesos N-20'!$E$4,Tablas!$B$1:$C$181,Flujos!J171+1,FALSE)</f>
        <v>0</v>
      </c>
      <c r="D171" s="14">
        <f t="shared" si="24"/>
        <v>0</v>
      </c>
      <c r="E171" s="15">
        <f t="shared" si="25"/>
        <v>0</v>
      </c>
      <c r="F171" s="15">
        <f>ROUND(D170*ROUND(((1+'CALCULADORA TIPS Pesos N-20'!$C$14)^(1/12)-1),6),6)</f>
        <v>0</v>
      </c>
      <c r="G171" s="15">
        <f t="shared" si="26"/>
        <v>0</v>
      </c>
      <c r="H171" s="22">
        <f>IF($B171=0,0,G171/POWER(1+'CALCULADORA TIPS Pesos N-20'!$F$11,Flujos!$B171/365))</f>
        <v>0</v>
      </c>
      <c r="I171" s="23">
        <f t="shared" si="23"/>
        <v>48887</v>
      </c>
      <c r="J171" s="20">
        <v>169</v>
      </c>
      <c r="K171" s="12">
        <f t="shared" si="27"/>
        <v>5141</v>
      </c>
      <c r="L171" s="76">
        <f t="shared" si="28"/>
        <v>-1.2398231774568558E-07</v>
      </c>
      <c r="M171" s="73">
        <f t="shared" si="29"/>
        <v>0</v>
      </c>
      <c r="N171" s="73">
        <f t="shared" si="30"/>
        <v>-6.073893746361136E-10</v>
      </c>
      <c r="O171" s="74">
        <f t="shared" si="31"/>
        <v>-6.073893746361136E-10</v>
      </c>
    </row>
    <row r="172" spans="1:15" ht="12.75">
      <c r="A172" s="4">
        <f t="shared" si="32"/>
        <v>48917</v>
      </c>
      <c r="B172" s="9">
        <f>IF(DIAS365('CALCULADORA TIPS Pesos N-20'!$E$6,A172)&lt;0,0,DIAS365('CALCULADORA TIPS Pesos N-20'!$E$6,A172))</f>
        <v>4137</v>
      </c>
      <c r="C172" s="5">
        <f>+HLOOKUP('CALCULADORA TIPS Pesos N-20'!$E$4,Tablas!$B$1:$C$181,Flujos!J172+1,FALSE)</f>
        <v>0</v>
      </c>
      <c r="D172" s="14">
        <f t="shared" si="24"/>
        <v>0</v>
      </c>
      <c r="E172" s="15">
        <f t="shared" si="25"/>
        <v>0</v>
      </c>
      <c r="F172" s="15">
        <f>ROUND(D171*ROUND(((1+'CALCULADORA TIPS Pesos N-20'!$C$14)^(1/12)-1),6),6)</f>
        <v>0</v>
      </c>
      <c r="G172" s="15">
        <f t="shared" si="26"/>
        <v>0</v>
      </c>
      <c r="H172" s="22">
        <f>IF($B172=0,0,G172/POWER(1+'CALCULADORA TIPS Pesos N-20'!$F$11,Flujos!$B172/365))</f>
        <v>0</v>
      </c>
      <c r="I172" s="23">
        <f t="shared" si="23"/>
        <v>48917</v>
      </c>
      <c r="J172" s="20">
        <v>170</v>
      </c>
      <c r="K172" s="12">
        <f t="shared" si="27"/>
        <v>5171</v>
      </c>
      <c r="L172" s="76">
        <f t="shared" si="28"/>
        <v>-1.2398231774568558E-07</v>
      </c>
      <c r="M172" s="73">
        <f t="shared" si="29"/>
        <v>0</v>
      </c>
      <c r="N172" s="73">
        <f t="shared" si="30"/>
        <v>-6.073893746361136E-10</v>
      </c>
      <c r="O172" s="74">
        <f t="shared" si="31"/>
        <v>-6.073893746361136E-10</v>
      </c>
    </row>
    <row r="173" spans="1:15" ht="12.75">
      <c r="A173" s="4">
        <f t="shared" si="32"/>
        <v>48948</v>
      </c>
      <c r="B173" s="9">
        <f>IF(DIAS365('CALCULADORA TIPS Pesos N-20'!$E$6,A173)&lt;0,0,DIAS365('CALCULADORA TIPS Pesos N-20'!$E$6,A173))</f>
        <v>4168</v>
      </c>
      <c r="C173" s="5">
        <f>+HLOOKUP('CALCULADORA TIPS Pesos N-20'!$E$4,Tablas!$B$1:$C$181,Flujos!J173+1,FALSE)</f>
        <v>0</v>
      </c>
      <c r="D173" s="14">
        <f t="shared" si="24"/>
        <v>0</v>
      </c>
      <c r="E173" s="15">
        <f t="shared" si="25"/>
        <v>0</v>
      </c>
      <c r="F173" s="15">
        <f>ROUND(D172*ROUND(((1+'CALCULADORA TIPS Pesos N-20'!$C$14)^(1/12)-1),6),6)</f>
        <v>0</v>
      </c>
      <c r="G173" s="15">
        <f t="shared" si="26"/>
        <v>0</v>
      </c>
      <c r="H173" s="22">
        <f>IF($B173=0,0,G173/POWER(1+'CALCULADORA TIPS Pesos N-20'!$F$11,Flujos!$B173/365))</f>
        <v>0</v>
      </c>
      <c r="I173" s="23">
        <f t="shared" si="23"/>
        <v>48948</v>
      </c>
      <c r="J173" s="20">
        <v>171</v>
      </c>
      <c r="K173" s="12">
        <f t="shared" si="27"/>
        <v>5202</v>
      </c>
      <c r="L173" s="76">
        <f t="shared" si="28"/>
        <v>-1.2398231774568558E-07</v>
      </c>
      <c r="M173" s="73">
        <f t="shared" si="29"/>
        <v>0</v>
      </c>
      <c r="N173" s="73">
        <f t="shared" si="30"/>
        <v>-6.073893746361136E-10</v>
      </c>
      <c r="O173" s="74">
        <f t="shared" si="31"/>
        <v>-6.073893746361136E-10</v>
      </c>
    </row>
    <row r="174" spans="1:15" ht="12.75">
      <c r="A174" s="4">
        <f t="shared" si="32"/>
        <v>48979</v>
      </c>
      <c r="B174" s="9">
        <f>IF(DIAS365('CALCULADORA TIPS Pesos N-20'!$E$6,A174)&lt;0,0,DIAS365('CALCULADORA TIPS Pesos N-20'!$E$6,A174))</f>
        <v>4199</v>
      </c>
      <c r="C174" s="5">
        <f>+HLOOKUP('CALCULADORA TIPS Pesos N-20'!$E$4,Tablas!$B$1:$C$181,Flujos!J174+1,FALSE)</f>
        <v>0</v>
      </c>
      <c r="D174" s="14">
        <f t="shared" si="24"/>
        <v>0</v>
      </c>
      <c r="E174" s="15">
        <f t="shared" si="25"/>
        <v>0</v>
      </c>
      <c r="F174" s="15">
        <f>ROUND(D173*ROUND(((1+'CALCULADORA TIPS Pesos N-20'!$C$14)^(1/12)-1),6),6)</f>
        <v>0</v>
      </c>
      <c r="G174" s="15">
        <f t="shared" si="26"/>
        <v>0</v>
      </c>
      <c r="H174" s="22">
        <f>IF($B174=0,0,G174/POWER(1+'CALCULADORA TIPS Pesos N-20'!$F$11,Flujos!$B174/365))</f>
        <v>0</v>
      </c>
      <c r="I174" s="23">
        <f t="shared" si="23"/>
        <v>48979</v>
      </c>
      <c r="J174" s="20">
        <v>172</v>
      </c>
      <c r="K174" s="12">
        <f t="shared" si="27"/>
        <v>5233</v>
      </c>
      <c r="L174" s="76">
        <f t="shared" si="28"/>
        <v>-1.2398231774568558E-07</v>
      </c>
      <c r="M174" s="73">
        <f t="shared" si="29"/>
        <v>0</v>
      </c>
      <c r="N174" s="73">
        <f t="shared" si="30"/>
        <v>-6.073893746361136E-10</v>
      </c>
      <c r="O174" s="74">
        <f t="shared" si="31"/>
        <v>-6.073893746361136E-10</v>
      </c>
    </row>
    <row r="175" spans="1:15" ht="12.75">
      <c r="A175" s="4">
        <f t="shared" si="32"/>
        <v>49007</v>
      </c>
      <c r="B175" s="9">
        <f>IF(DIAS365('CALCULADORA TIPS Pesos N-20'!$E$6,A175)&lt;0,0,DIAS365('CALCULADORA TIPS Pesos N-20'!$E$6,A175))</f>
        <v>4227</v>
      </c>
      <c r="C175" s="5">
        <f>+HLOOKUP('CALCULADORA TIPS Pesos N-20'!$E$4,Tablas!$B$1:$C$181,Flujos!J175+1,FALSE)</f>
        <v>0</v>
      </c>
      <c r="D175" s="14">
        <f t="shared" si="24"/>
        <v>0</v>
      </c>
      <c r="E175" s="15">
        <f t="shared" si="25"/>
        <v>0</v>
      </c>
      <c r="F175" s="15">
        <f>ROUND(D174*ROUND(((1+'CALCULADORA TIPS Pesos N-20'!$C$14)^(1/12)-1),6),6)</f>
        <v>0</v>
      </c>
      <c r="G175" s="15">
        <f t="shared" si="26"/>
        <v>0</v>
      </c>
      <c r="H175" s="22">
        <f>IF($B175=0,0,G175/POWER(1+'CALCULADORA TIPS Pesos N-20'!$F$11,Flujos!$B175/365))</f>
        <v>0</v>
      </c>
      <c r="I175" s="23">
        <f t="shared" si="23"/>
        <v>49007</v>
      </c>
      <c r="J175" s="20">
        <v>173</v>
      </c>
      <c r="K175" s="12">
        <f t="shared" si="27"/>
        <v>5261</v>
      </c>
      <c r="L175" s="76">
        <f t="shared" si="28"/>
        <v>-1.2398231774568558E-07</v>
      </c>
      <c r="M175" s="73">
        <f t="shared" si="29"/>
        <v>0</v>
      </c>
      <c r="N175" s="73">
        <f t="shared" si="30"/>
        <v>-6.073893746361136E-10</v>
      </c>
      <c r="O175" s="74">
        <f t="shared" si="31"/>
        <v>-6.073893746361136E-10</v>
      </c>
    </row>
    <row r="176" spans="1:15" ht="12.75">
      <c r="A176" s="4">
        <f t="shared" si="32"/>
        <v>49038</v>
      </c>
      <c r="B176" s="9">
        <f>IF(DIAS365('CALCULADORA TIPS Pesos N-20'!$E$6,A176)&lt;0,0,DIAS365('CALCULADORA TIPS Pesos N-20'!$E$6,A176))</f>
        <v>4258</v>
      </c>
      <c r="C176" s="5">
        <f>+HLOOKUP('CALCULADORA TIPS Pesos N-20'!$E$4,Tablas!$B$1:$C$181,Flujos!J176+1,FALSE)</f>
        <v>0</v>
      </c>
      <c r="D176" s="14">
        <f t="shared" si="24"/>
        <v>0</v>
      </c>
      <c r="E176" s="15">
        <f t="shared" si="25"/>
        <v>0</v>
      </c>
      <c r="F176" s="15">
        <f>ROUND(D175*ROUND(((1+'CALCULADORA TIPS Pesos N-20'!$C$14)^(1/12)-1),6),6)</f>
        <v>0</v>
      </c>
      <c r="G176" s="15">
        <f t="shared" si="26"/>
        <v>0</v>
      </c>
      <c r="H176" s="22">
        <f>IF($B176=0,0,G176/POWER(1+'CALCULADORA TIPS Pesos N-20'!$F$11,Flujos!$B176/365))</f>
        <v>0</v>
      </c>
      <c r="I176" s="23">
        <f t="shared" si="23"/>
        <v>49038</v>
      </c>
      <c r="J176" s="20">
        <v>174</v>
      </c>
      <c r="K176" s="12">
        <f t="shared" si="27"/>
        <v>5292</v>
      </c>
      <c r="L176" s="76">
        <f t="shared" si="28"/>
        <v>-1.2398231774568558E-07</v>
      </c>
      <c r="M176" s="73">
        <f t="shared" si="29"/>
        <v>0</v>
      </c>
      <c r="N176" s="73">
        <f t="shared" si="30"/>
        <v>-6.073893746361136E-10</v>
      </c>
      <c r="O176" s="74">
        <f t="shared" si="31"/>
        <v>-6.073893746361136E-10</v>
      </c>
    </row>
    <row r="177" spans="1:15" ht="12.75">
      <c r="A177" s="4">
        <f t="shared" si="32"/>
        <v>49068</v>
      </c>
      <c r="B177" s="9">
        <f>IF(DIAS365('CALCULADORA TIPS Pesos N-20'!$E$6,A177)&lt;0,0,DIAS365('CALCULADORA TIPS Pesos N-20'!$E$6,A177))</f>
        <v>4288</v>
      </c>
      <c r="C177" s="5">
        <f>+HLOOKUP('CALCULADORA TIPS Pesos N-20'!$E$4,Tablas!$B$1:$C$181,Flujos!J177+1,FALSE)</f>
        <v>0</v>
      </c>
      <c r="D177" s="14">
        <f t="shared" si="24"/>
        <v>0</v>
      </c>
      <c r="E177" s="15">
        <f t="shared" si="25"/>
        <v>0</v>
      </c>
      <c r="F177" s="15">
        <f>ROUND(D176*ROUND(((1+'CALCULADORA TIPS Pesos N-20'!$C$14)^(1/12)-1),6),6)</f>
        <v>0</v>
      </c>
      <c r="G177" s="15">
        <f t="shared" si="26"/>
        <v>0</v>
      </c>
      <c r="H177" s="22">
        <f>IF($B177=0,0,G177/POWER(1+'CALCULADORA TIPS Pesos N-20'!$F$11,Flujos!$B177/365))</f>
        <v>0</v>
      </c>
      <c r="I177" s="23">
        <f t="shared" si="23"/>
        <v>49068</v>
      </c>
      <c r="J177" s="20">
        <v>175</v>
      </c>
      <c r="K177" s="12">
        <f t="shared" si="27"/>
        <v>5322</v>
      </c>
      <c r="L177" s="76">
        <f t="shared" si="28"/>
        <v>-1.2398231774568558E-07</v>
      </c>
      <c r="M177" s="73">
        <f t="shared" si="29"/>
        <v>0</v>
      </c>
      <c r="N177" s="73">
        <f t="shared" si="30"/>
        <v>-6.073893746361136E-10</v>
      </c>
      <c r="O177" s="74">
        <f t="shared" si="31"/>
        <v>-6.073893746361136E-10</v>
      </c>
    </row>
    <row r="178" spans="1:15" ht="12.75">
      <c r="A178" s="4">
        <f t="shared" si="32"/>
        <v>49099</v>
      </c>
      <c r="B178" s="9">
        <f>IF(DIAS365('CALCULADORA TIPS Pesos N-20'!$E$6,A178)&lt;0,0,DIAS365('CALCULADORA TIPS Pesos N-20'!$E$6,A178))</f>
        <v>4319</v>
      </c>
      <c r="C178" s="5">
        <f>+HLOOKUP('CALCULADORA TIPS Pesos N-20'!$E$4,Tablas!$B$1:$C$181,Flujos!J178+1,FALSE)</f>
        <v>0</v>
      </c>
      <c r="D178" s="14">
        <f t="shared" si="24"/>
        <v>0</v>
      </c>
      <c r="E178" s="15">
        <f t="shared" si="25"/>
        <v>0</v>
      </c>
      <c r="F178" s="15">
        <f>ROUND(D177*ROUND(((1+'CALCULADORA TIPS Pesos N-20'!$C$14)^(1/12)-1),6),6)</f>
        <v>0</v>
      </c>
      <c r="G178" s="15">
        <f t="shared" si="26"/>
        <v>0</v>
      </c>
      <c r="H178" s="22">
        <f>IF($B178=0,0,G178/POWER(1+'CALCULADORA TIPS Pesos N-20'!$F$11,Flujos!$B178/365))</f>
        <v>0</v>
      </c>
      <c r="I178" s="23">
        <f t="shared" si="23"/>
        <v>49099</v>
      </c>
      <c r="J178" s="20">
        <v>176</v>
      </c>
      <c r="K178" s="12">
        <f t="shared" si="27"/>
        <v>5353</v>
      </c>
      <c r="L178" s="76">
        <f t="shared" si="28"/>
        <v>-1.2398231774568558E-07</v>
      </c>
      <c r="M178" s="73">
        <f t="shared" si="29"/>
        <v>0</v>
      </c>
      <c r="N178" s="73">
        <f t="shared" si="30"/>
        <v>-6.073893746361136E-10</v>
      </c>
      <c r="O178" s="74">
        <f t="shared" si="31"/>
        <v>-6.073893746361136E-10</v>
      </c>
    </row>
    <row r="179" spans="1:15" ht="12.75">
      <c r="A179" s="4">
        <f t="shared" si="32"/>
        <v>49129</v>
      </c>
      <c r="B179" s="9">
        <f>IF(DIAS365('CALCULADORA TIPS Pesos N-20'!$E$6,A179)&lt;0,0,DIAS365('CALCULADORA TIPS Pesos N-20'!$E$6,A179))</f>
        <v>4349</v>
      </c>
      <c r="C179" s="5">
        <f>+HLOOKUP('CALCULADORA TIPS Pesos N-20'!$E$4,Tablas!$B$1:$C$181,Flujos!J179+1,FALSE)</f>
        <v>0</v>
      </c>
      <c r="D179" s="14">
        <f t="shared" si="24"/>
        <v>0</v>
      </c>
      <c r="E179" s="15">
        <f t="shared" si="25"/>
        <v>0</v>
      </c>
      <c r="F179" s="15">
        <f>ROUND(D178*ROUND(((1+'CALCULADORA TIPS Pesos N-20'!$C$14)^(1/12)-1),6),6)</f>
        <v>0</v>
      </c>
      <c r="G179" s="15">
        <f t="shared" si="26"/>
        <v>0</v>
      </c>
      <c r="H179" s="22">
        <f>IF($B179=0,0,G179/POWER(1+'CALCULADORA TIPS Pesos N-20'!$F$11,Flujos!$B179/365))</f>
        <v>0</v>
      </c>
      <c r="I179" s="23">
        <f t="shared" si="23"/>
        <v>49129</v>
      </c>
      <c r="J179" s="20">
        <v>177</v>
      </c>
      <c r="K179" s="12">
        <f t="shared" si="27"/>
        <v>5383</v>
      </c>
      <c r="L179" s="76">
        <f t="shared" si="28"/>
        <v>-1.2398231774568558E-07</v>
      </c>
      <c r="M179" s="73">
        <f t="shared" si="29"/>
        <v>0</v>
      </c>
      <c r="N179" s="73">
        <f t="shared" si="30"/>
        <v>-6.073893746361136E-10</v>
      </c>
      <c r="O179" s="74">
        <f t="shared" si="31"/>
        <v>-6.073893746361136E-10</v>
      </c>
    </row>
    <row r="180" spans="1:15" ht="12.75">
      <c r="A180" s="4">
        <f t="shared" si="32"/>
        <v>49160</v>
      </c>
      <c r="B180" s="9">
        <f>IF(DIAS365('CALCULADORA TIPS Pesos N-20'!$E$6,A180)&lt;0,0,DIAS365('CALCULADORA TIPS Pesos N-20'!$E$6,A180))</f>
        <v>4380</v>
      </c>
      <c r="C180" s="5">
        <f>+HLOOKUP('CALCULADORA TIPS Pesos N-20'!$E$4,Tablas!$B$1:$C$181,Flujos!J180+1,FALSE)</f>
        <v>0</v>
      </c>
      <c r="D180" s="14">
        <f t="shared" si="24"/>
        <v>0</v>
      </c>
      <c r="E180" s="15">
        <f t="shared" si="25"/>
        <v>0</v>
      </c>
      <c r="F180" s="15">
        <f>ROUND(D179*ROUND(((1+'CALCULADORA TIPS Pesos N-20'!$C$14)^(1/12)-1),6),6)</f>
        <v>0</v>
      </c>
      <c r="G180" s="15">
        <f t="shared" si="26"/>
        <v>0</v>
      </c>
      <c r="H180" s="22">
        <f>IF($B180=0,0,G180/POWER(1+'CALCULADORA TIPS Pesos N-20'!$F$11,Flujos!$B180/365))</f>
        <v>0</v>
      </c>
      <c r="I180" s="23">
        <f t="shared" si="23"/>
        <v>49160</v>
      </c>
      <c r="J180" s="20">
        <v>178</v>
      </c>
      <c r="K180" s="12">
        <f t="shared" si="27"/>
        <v>5414</v>
      </c>
      <c r="L180" s="76">
        <f t="shared" si="28"/>
        <v>-1.2398231774568558E-07</v>
      </c>
      <c r="M180" s="73">
        <f t="shared" si="29"/>
        <v>0</v>
      </c>
      <c r="N180" s="73">
        <f t="shared" si="30"/>
        <v>-6.073893746361136E-10</v>
      </c>
      <c r="O180" s="74">
        <f t="shared" si="31"/>
        <v>-6.073893746361136E-10</v>
      </c>
    </row>
    <row r="181" spans="1:15" ht="12.75">
      <c r="A181" s="4">
        <f t="shared" si="32"/>
        <v>49191</v>
      </c>
      <c r="B181" s="9">
        <f>IF(DIAS365('CALCULADORA TIPS Pesos N-20'!$E$6,A181)&lt;0,0,DIAS365('CALCULADORA TIPS Pesos N-20'!$E$6,A181))</f>
        <v>4411</v>
      </c>
      <c r="C181" s="5">
        <f>+HLOOKUP('CALCULADORA TIPS Pesos N-20'!$E$4,Tablas!$B$1:$C$181,Flujos!J181+1,FALSE)</f>
        <v>0</v>
      </c>
      <c r="D181" s="14">
        <f t="shared" si="24"/>
        <v>0</v>
      </c>
      <c r="E181" s="15">
        <f t="shared" si="25"/>
        <v>0</v>
      </c>
      <c r="F181" s="15">
        <f>ROUND(D180*ROUND(((1+'CALCULADORA TIPS Pesos N-20'!$C$14)^(1/12)-1),6),6)</f>
        <v>0</v>
      </c>
      <c r="G181" s="15">
        <f t="shared" si="26"/>
        <v>0</v>
      </c>
      <c r="H181" s="22">
        <f>IF($B181=0,0,G181/POWER(1+'CALCULADORA TIPS Pesos N-20'!$F$11,Flujos!$B181/365))</f>
        <v>0</v>
      </c>
      <c r="I181" s="23">
        <f t="shared" si="23"/>
        <v>49191</v>
      </c>
      <c r="J181" s="20">
        <v>179</v>
      </c>
      <c r="K181" s="12">
        <f t="shared" si="27"/>
        <v>5445</v>
      </c>
      <c r="L181" s="76">
        <f t="shared" si="28"/>
        <v>-1.2398231774568558E-07</v>
      </c>
      <c r="M181" s="73">
        <f t="shared" si="29"/>
        <v>0</v>
      </c>
      <c r="N181" s="73">
        <f t="shared" si="30"/>
        <v>-6.073893746361136E-10</v>
      </c>
      <c r="O181" s="74">
        <f t="shared" si="31"/>
        <v>-6.073893746361136E-10</v>
      </c>
    </row>
    <row r="182" spans="1:15" ht="13.5" thickBot="1">
      <c r="A182" s="4">
        <f t="shared" si="32"/>
        <v>49221</v>
      </c>
      <c r="B182" s="9">
        <f>IF(DIAS365('CALCULADORA TIPS Pesos N-20'!$E$6,A182)&lt;0,0,DIAS365('CALCULADORA TIPS Pesos N-20'!$E$6,A182))</f>
        <v>4441</v>
      </c>
      <c r="C182" s="5">
        <f>+HLOOKUP('CALCULADORA TIPS Pesos N-20'!$E$4,Tablas!$B$1:$C$181,Flujos!J182+1,FALSE)</f>
        <v>0</v>
      </c>
      <c r="D182" s="14">
        <f t="shared" si="24"/>
        <v>0</v>
      </c>
      <c r="E182" s="15">
        <f t="shared" si="25"/>
        <v>0</v>
      </c>
      <c r="F182" s="15">
        <f>ROUND(D181*ROUND(((1+'CALCULADORA TIPS Pesos N-20'!$C$14)^(1/12)-1),6),6)</f>
        <v>0</v>
      </c>
      <c r="G182" s="15">
        <f t="shared" si="26"/>
        <v>0</v>
      </c>
      <c r="H182" s="22">
        <f>IF($B182=0,0,G182/POWER(1+'CALCULADORA TIPS Pesos N-20'!$F$11,Flujos!$B182/365))</f>
        <v>0</v>
      </c>
      <c r="I182" s="24">
        <f t="shared" si="23"/>
        <v>49221</v>
      </c>
      <c r="J182" s="21">
        <v>180</v>
      </c>
      <c r="K182" s="13">
        <f t="shared" si="27"/>
        <v>5475</v>
      </c>
      <c r="L182" s="78">
        <f t="shared" si="28"/>
        <v>-1.2398231774568558E-07</v>
      </c>
      <c r="M182" s="79">
        <f t="shared" si="29"/>
        <v>0</v>
      </c>
      <c r="N182" s="79">
        <f t="shared" si="30"/>
        <v>-6.073893746361136E-10</v>
      </c>
      <c r="O182" s="80">
        <f t="shared" si="31"/>
        <v>-6.073893746361136E-10</v>
      </c>
    </row>
    <row r="183" spans="1:15" ht="13.5" thickBot="1">
      <c r="A183" s="7"/>
      <c r="B183" s="8"/>
      <c r="C183" s="17">
        <f>+SUMIF(B2:B182,"&gt;0",C2:C182)</f>
        <v>0.7040428099999998</v>
      </c>
      <c r="D183" s="16"/>
      <c r="E183" s="18">
        <f>SUM(E2:E182)</f>
        <v>100.00000000000003</v>
      </c>
      <c r="F183" s="18">
        <f>SUM(F2:F182)</f>
        <v>26.336459000000016</v>
      </c>
      <c r="G183" s="18">
        <f>SUM(G2:G182)</f>
        <v>126.33645899999999</v>
      </c>
      <c r="H183" s="19">
        <f>SUM(H2:H182)</f>
        <v>70.40210577168605</v>
      </c>
      <c r="I183" s="10"/>
      <c r="L183" s="81" t="s">
        <v>36</v>
      </c>
      <c r="M183" s="36">
        <f>SUM(M2:M182)</f>
        <v>284011411.18109006</v>
      </c>
      <c r="N183" s="36">
        <f>SUM(N2:N182)</f>
        <v>74798543.65255524</v>
      </c>
      <c r="O183" s="37">
        <f>SUM(O2:O182)</f>
        <v>358809954.8336455</v>
      </c>
    </row>
    <row r="184" spans="4:8" ht="12.75" hidden="1">
      <c r="D184" s="6"/>
      <c r="E184" s="6"/>
      <c r="F184" s="6"/>
      <c r="G184" s="6"/>
      <c r="H184" s="6"/>
    </row>
    <row r="195" ht="12.75" hidden="1">
      <c r="E195" s="25"/>
    </row>
  </sheetData>
  <sheetProtection password="C5F9" sheet="1" objects="1" scenarios="1"/>
  <printOptions/>
  <pageMargins left="0.3937007874015748" right="0.3937007874015748"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6"/>
  <dimension ref="A1:H16"/>
  <sheetViews>
    <sheetView zoomScalePageLayoutView="0" workbookViewId="0" topLeftCell="A1">
      <selection activeCell="F36" sqref="F36"/>
    </sheetView>
  </sheetViews>
  <sheetFormatPr defaultColWidth="11.421875" defaultRowHeight="12.75"/>
  <cols>
    <col min="1" max="16384" width="11.421875" style="2" customWidth="1"/>
  </cols>
  <sheetData>
    <row r="1" spans="1:8" ht="12.75">
      <c r="A1" s="329" t="s">
        <v>48</v>
      </c>
      <c r="B1" s="330"/>
      <c r="C1" s="330"/>
      <c r="D1" s="330"/>
      <c r="E1" s="330"/>
      <c r="F1" s="330"/>
      <c r="G1" s="330"/>
      <c r="H1" s="330"/>
    </row>
    <row r="2" spans="1:8" ht="12.75">
      <c r="A2" s="330"/>
      <c r="B2" s="330"/>
      <c r="C2" s="330"/>
      <c r="D2" s="330"/>
      <c r="E2" s="330"/>
      <c r="F2" s="330"/>
      <c r="G2" s="330"/>
      <c r="H2" s="330"/>
    </row>
    <row r="3" spans="1:8" ht="12.75">
      <c r="A3" s="330"/>
      <c r="B3" s="330"/>
      <c r="C3" s="330"/>
      <c r="D3" s="330"/>
      <c r="E3" s="330"/>
      <c r="F3" s="330"/>
      <c r="G3" s="330"/>
      <c r="H3" s="330"/>
    </row>
    <row r="4" spans="1:8" ht="12.75">
      <c r="A4" s="330"/>
      <c r="B4" s="330"/>
      <c r="C4" s="330"/>
      <c r="D4" s="330"/>
      <c r="E4" s="330"/>
      <c r="F4" s="330"/>
      <c r="G4" s="330"/>
      <c r="H4" s="330"/>
    </row>
    <row r="5" spans="1:8" ht="12.75">
      <c r="A5" s="330"/>
      <c r="B5" s="330"/>
      <c r="C5" s="330"/>
      <c r="D5" s="330"/>
      <c r="E5" s="330"/>
      <c r="F5" s="330"/>
      <c r="G5" s="330"/>
      <c r="H5" s="330"/>
    </row>
    <row r="6" spans="1:8" ht="12.75">
      <c r="A6" s="330"/>
      <c r="B6" s="330"/>
      <c r="C6" s="330"/>
      <c r="D6" s="330"/>
      <c r="E6" s="330"/>
      <c r="F6" s="330"/>
      <c r="G6" s="330"/>
      <c r="H6" s="330"/>
    </row>
    <row r="7" spans="1:8" ht="12.75">
      <c r="A7" s="330"/>
      <c r="B7" s="330"/>
      <c r="C7" s="330"/>
      <c r="D7" s="330"/>
      <c r="E7" s="330"/>
      <c r="F7" s="330"/>
      <c r="G7" s="330"/>
      <c r="H7" s="330"/>
    </row>
    <row r="8" spans="1:8" ht="12.75">
      <c r="A8" s="330"/>
      <c r="B8" s="330"/>
      <c r="C8" s="330"/>
      <c r="D8" s="330"/>
      <c r="E8" s="330"/>
      <c r="F8" s="330"/>
      <c r="G8" s="330"/>
      <c r="H8" s="330"/>
    </row>
    <row r="9" spans="1:8" ht="12.75">
      <c r="A9" s="330"/>
      <c r="B9" s="330"/>
      <c r="C9" s="330"/>
      <c r="D9" s="330"/>
      <c r="E9" s="330"/>
      <c r="F9" s="330"/>
      <c r="G9" s="330"/>
      <c r="H9" s="330"/>
    </row>
    <row r="10" spans="1:8" ht="12.75">
      <c r="A10" s="330"/>
      <c r="B10" s="330"/>
      <c r="C10" s="330"/>
      <c r="D10" s="330"/>
      <c r="E10" s="330"/>
      <c r="F10" s="330"/>
      <c r="G10" s="330"/>
      <c r="H10" s="330"/>
    </row>
    <row r="11" spans="1:8" ht="12.75">
      <c r="A11" s="330"/>
      <c r="B11" s="330"/>
      <c r="C11" s="330"/>
      <c r="D11" s="330"/>
      <c r="E11" s="330"/>
      <c r="F11" s="330"/>
      <c r="G11" s="330"/>
      <c r="H11" s="330"/>
    </row>
    <row r="12" spans="1:8" ht="12.75">
      <c r="A12" s="330"/>
      <c r="B12" s="330"/>
      <c r="C12" s="330"/>
      <c r="D12" s="330"/>
      <c r="E12" s="330"/>
      <c r="F12" s="330"/>
      <c r="G12" s="330"/>
      <c r="H12" s="330"/>
    </row>
    <row r="13" spans="1:8" ht="12.75">
      <c r="A13" s="330"/>
      <c r="B13" s="330"/>
      <c r="C13" s="330"/>
      <c r="D13" s="330"/>
      <c r="E13" s="330"/>
      <c r="F13" s="330"/>
      <c r="G13" s="330"/>
      <c r="H13" s="330"/>
    </row>
    <row r="14" spans="1:8" ht="12.75">
      <c r="A14" s="330"/>
      <c r="B14" s="330"/>
      <c r="C14" s="330"/>
      <c r="D14" s="330"/>
      <c r="E14" s="330"/>
      <c r="F14" s="330"/>
      <c r="G14" s="330"/>
      <c r="H14" s="330"/>
    </row>
    <row r="16" ht="12.75">
      <c r="A16" s="123" t="s">
        <v>50</v>
      </c>
    </row>
  </sheetData>
  <sheetProtection password="C579" sheet="1" objects="1" scenarios="1"/>
  <mergeCells count="1">
    <mergeCell ref="A1:H14"/>
  </mergeCells>
  <hyperlinks>
    <hyperlink ref="A16" location="'CALCULADORA TIPS Pesos E-8'!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S185"/>
  <sheetViews>
    <sheetView zoomScale="80" zoomScaleNormal="80" zoomScalePageLayoutView="0" workbookViewId="0" topLeftCell="A1">
      <pane xSplit="1" ySplit="2" topLeftCell="B12" activePane="bottomRight" state="frozen"/>
      <selection pane="topLeft" activeCell="A1" sqref="A1"/>
      <selection pane="topRight" activeCell="B1" sqref="B1"/>
      <selection pane="bottomLeft" activeCell="A3" sqref="A3"/>
      <selection pane="bottomRight" activeCell="B32" sqref="B32"/>
    </sheetView>
  </sheetViews>
  <sheetFormatPr defaultColWidth="0" defaultRowHeight="12.75"/>
  <cols>
    <col min="1" max="1" width="11.421875" style="241" bestFit="1" customWidth="1"/>
    <col min="2" max="2" width="21.140625" style="241" bestFit="1" customWidth="1"/>
    <col min="3" max="3" width="22.57421875" style="241" bestFit="1" customWidth="1"/>
    <col min="4" max="4" width="3.421875" style="241" customWidth="1"/>
    <col min="5" max="6" width="21.140625" style="241" bestFit="1" customWidth="1"/>
    <col min="7" max="7" width="3.421875" style="241" customWidth="1"/>
    <col min="8" max="9" width="21.140625" style="241" bestFit="1" customWidth="1"/>
    <col min="10" max="10" width="3.421875" style="241" customWidth="1"/>
    <col min="11" max="12" width="21.140625" style="241" bestFit="1" customWidth="1"/>
    <col min="13" max="13" width="3.421875" style="241" customWidth="1"/>
    <col min="14" max="15" width="21.140625" style="241" bestFit="1" customWidth="1"/>
    <col min="16" max="16" width="3.421875" style="241" customWidth="1"/>
    <col min="17" max="18" width="21.140625" style="241" bestFit="1" customWidth="1"/>
    <col min="19" max="16384" width="0" style="241" hidden="1" customWidth="1"/>
  </cols>
  <sheetData>
    <row r="1" spans="1:18" ht="13.5" thickBot="1">
      <c r="A1" s="333" t="s">
        <v>0</v>
      </c>
      <c r="B1" s="331" t="s">
        <v>41</v>
      </c>
      <c r="C1" s="332"/>
      <c r="E1" s="331" t="s">
        <v>42</v>
      </c>
      <c r="F1" s="332"/>
      <c r="H1" s="331" t="s">
        <v>43</v>
      </c>
      <c r="I1" s="332"/>
      <c r="K1" s="331" t="s">
        <v>44</v>
      </c>
      <c r="L1" s="332"/>
      <c r="N1" s="331" t="s">
        <v>45</v>
      </c>
      <c r="O1" s="332"/>
      <c r="Q1" s="331" t="s">
        <v>1</v>
      </c>
      <c r="R1" s="332"/>
    </row>
    <row r="2" spans="1:18" ht="13.5" thickBot="1">
      <c r="A2" s="334"/>
      <c r="B2" s="242" t="str">
        <f>+Características!$B$1</f>
        <v>TIPS Pesos N-20 A 2024</v>
      </c>
      <c r="C2" s="243" t="str">
        <f>+Características!$C$1</f>
        <v>TIPS Pesos N-20 A 2034</v>
      </c>
      <c r="E2" s="244" t="str">
        <f>+Características!$B$1</f>
        <v>TIPS Pesos N-20 A 2024</v>
      </c>
      <c r="F2" s="245" t="str">
        <f>+Características!$C$1</f>
        <v>TIPS Pesos N-20 A 2034</v>
      </c>
      <c r="H2" s="244" t="str">
        <f>+Características!$B$1</f>
        <v>TIPS Pesos N-20 A 2024</v>
      </c>
      <c r="I2" s="245" t="str">
        <f>+Características!$C$1</f>
        <v>TIPS Pesos N-20 A 2034</v>
      </c>
      <c r="K2" s="244" t="str">
        <f>+Características!$B$1</f>
        <v>TIPS Pesos N-20 A 2024</v>
      </c>
      <c r="L2" s="245" t="str">
        <f>+Características!$C$1</f>
        <v>TIPS Pesos N-20 A 2034</v>
      </c>
      <c r="N2" s="244" t="str">
        <f>+Características!$B$1</f>
        <v>TIPS Pesos N-20 A 2024</v>
      </c>
      <c r="O2" s="245" t="str">
        <f>+Características!$C$1</f>
        <v>TIPS Pesos N-20 A 2034</v>
      </c>
      <c r="Q2" s="244" t="str">
        <f>+Características!$B$1</f>
        <v>TIPS Pesos N-20 A 2024</v>
      </c>
      <c r="R2" s="245" t="str">
        <f>+Características!$C$1</f>
        <v>TIPS Pesos N-20 A 2034</v>
      </c>
    </row>
    <row r="3" spans="1:18" ht="15">
      <c r="A3" s="247">
        <v>43773</v>
      </c>
      <c r="B3" s="291">
        <v>0.05083739</v>
      </c>
      <c r="C3" s="291">
        <v>0</v>
      </c>
      <c r="D3" s="246"/>
      <c r="E3" s="310">
        <v>0.05083739</v>
      </c>
      <c r="F3" s="311">
        <v>0</v>
      </c>
      <c r="G3" s="267"/>
      <c r="H3" s="310">
        <v>0.05083739</v>
      </c>
      <c r="I3" s="311">
        <v>0</v>
      </c>
      <c r="J3" s="267"/>
      <c r="K3" s="310">
        <v>0.05083739</v>
      </c>
      <c r="L3" s="311">
        <v>0</v>
      </c>
      <c r="M3" s="267"/>
      <c r="N3" s="310">
        <v>0.05083739</v>
      </c>
      <c r="O3" s="311">
        <v>0</v>
      </c>
      <c r="P3" s="267"/>
      <c r="Q3" s="310">
        <v>0.05083739</v>
      </c>
      <c r="R3" s="311">
        <v>0</v>
      </c>
    </row>
    <row r="4" spans="1:18" ht="15">
      <c r="A4" s="247">
        <v>43803</v>
      </c>
      <c r="B4" s="291">
        <v>0.07290106</v>
      </c>
      <c r="C4" s="291">
        <v>0</v>
      </c>
      <c r="D4" s="246"/>
      <c r="E4" s="312">
        <v>0.07290106</v>
      </c>
      <c r="F4" s="313">
        <v>0</v>
      </c>
      <c r="G4" s="268"/>
      <c r="H4" s="312">
        <v>0.07290106</v>
      </c>
      <c r="I4" s="313">
        <v>0</v>
      </c>
      <c r="J4" s="268"/>
      <c r="K4" s="312">
        <v>0.07290106</v>
      </c>
      <c r="L4" s="313">
        <v>0</v>
      </c>
      <c r="M4" s="268"/>
      <c r="N4" s="312">
        <v>0.07290106</v>
      </c>
      <c r="O4" s="313">
        <v>0</v>
      </c>
      <c r="P4" s="268"/>
      <c r="Q4" s="312">
        <v>0.07290106</v>
      </c>
      <c r="R4" s="313">
        <v>0</v>
      </c>
    </row>
    <row r="5" spans="1:18" ht="15">
      <c r="A5" s="247">
        <v>43834</v>
      </c>
      <c r="B5" s="291">
        <v>0.06382194</v>
      </c>
      <c r="C5" s="291">
        <v>0</v>
      </c>
      <c r="D5" s="246"/>
      <c r="E5" s="312">
        <v>0.06382194</v>
      </c>
      <c r="F5" s="313">
        <v>0</v>
      </c>
      <c r="G5" s="268"/>
      <c r="H5" s="312">
        <v>0.06382194</v>
      </c>
      <c r="I5" s="313">
        <v>0</v>
      </c>
      <c r="J5" s="269"/>
      <c r="K5" s="312">
        <v>0.06382194</v>
      </c>
      <c r="L5" s="313">
        <v>0</v>
      </c>
      <c r="M5" s="269"/>
      <c r="N5" s="312">
        <v>0.06382194</v>
      </c>
      <c r="O5" s="313">
        <v>0</v>
      </c>
      <c r="P5" s="269"/>
      <c r="Q5" s="312">
        <v>0.06382194</v>
      </c>
      <c r="R5" s="313">
        <v>0</v>
      </c>
    </row>
    <row r="6" spans="1:18" ht="15">
      <c r="A6" s="247">
        <v>43865</v>
      </c>
      <c r="B6" s="291">
        <v>0.06359946</v>
      </c>
      <c r="C6" s="291">
        <v>0</v>
      </c>
      <c r="D6" s="246"/>
      <c r="E6" s="312">
        <v>0.06359946</v>
      </c>
      <c r="F6" s="313">
        <v>0</v>
      </c>
      <c r="G6" s="268"/>
      <c r="H6" s="312">
        <v>0.06359946</v>
      </c>
      <c r="I6" s="313">
        <v>0</v>
      </c>
      <c r="J6" s="269"/>
      <c r="K6" s="312">
        <v>0.06359946</v>
      </c>
      <c r="L6" s="313">
        <v>0</v>
      </c>
      <c r="M6" s="269"/>
      <c r="N6" s="312">
        <v>0.06359946</v>
      </c>
      <c r="O6" s="313">
        <v>0</v>
      </c>
      <c r="P6" s="269"/>
      <c r="Q6" s="312">
        <v>0.06359946</v>
      </c>
      <c r="R6" s="313">
        <v>0</v>
      </c>
    </row>
    <row r="7" spans="1:18" ht="15">
      <c r="A7" s="247">
        <v>43894</v>
      </c>
      <c r="B7" s="291">
        <v>0.08231951</v>
      </c>
      <c r="C7" s="291">
        <v>0</v>
      </c>
      <c r="D7" s="246"/>
      <c r="E7" s="312">
        <v>0.08231951</v>
      </c>
      <c r="F7" s="313">
        <v>0</v>
      </c>
      <c r="G7" s="269"/>
      <c r="H7" s="312">
        <v>0.08231951</v>
      </c>
      <c r="I7" s="313">
        <v>0</v>
      </c>
      <c r="J7" s="269"/>
      <c r="K7" s="312">
        <v>0.08231951</v>
      </c>
      <c r="L7" s="313">
        <v>0</v>
      </c>
      <c r="M7" s="269"/>
      <c r="N7" s="312">
        <v>0.08231951</v>
      </c>
      <c r="O7" s="313">
        <v>0</v>
      </c>
      <c r="P7" s="269"/>
      <c r="Q7" s="312">
        <v>0.08231951</v>
      </c>
      <c r="R7" s="313">
        <v>0</v>
      </c>
    </row>
    <row r="8" spans="1:18" ht="15">
      <c r="A8" s="247">
        <v>43925</v>
      </c>
      <c r="B8" s="291">
        <v>0.0566328</v>
      </c>
      <c r="C8" s="291">
        <v>0</v>
      </c>
      <c r="D8" s="246"/>
      <c r="E8" s="312">
        <v>0.0566328</v>
      </c>
      <c r="F8" s="313">
        <v>0</v>
      </c>
      <c r="G8" s="269"/>
      <c r="H8" s="312">
        <v>0.0566328</v>
      </c>
      <c r="I8" s="313">
        <v>0</v>
      </c>
      <c r="J8" s="269"/>
      <c r="K8" s="312">
        <v>0.0566328</v>
      </c>
      <c r="L8" s="313">
        <v>0</v>
      </c>
      <c r="M8" s="269"/>
      <c r="N8" s="312">
        <v>0.0566328</v>
      </c>
      <c r="O8" s="313">
        <v>0</v>
      </c>
      <c r="P8" s="269"/>
      <c r="Q8" s="312">
        <v>0.0566328</v>
      </c>
      <c r="R8" s="313">
        <v>0</v>
      </c>
    </row>
    <row r="9" spans="1:18" ht="15">
      <c r="A9" s="247">
        <v>43955</v>
      </c>
      <c r="B9" s="291">
        <v>0.00264736</v>
      </c>
      <c r="C9" s="291">
        <v>0</v>
      </c>
      <c r="D9" s="246"/>
      <c r="E9" s="312">
        <v>0.00264736</v>
      </c>
      <c r="F9" s="313">
        <v>0</v>
      </c>
      <c r="G9" s="269"/>
      <c r="H9" s="312">
        <v>0.00264736</v>
      </c>
      <c r="I9" s="313">
        <v>0</v>
      </c>
      <c r="J9" s="269"/>
      <c r="K9" s="312">
        <v>0.00264736</v>
      </c>
      <c r="L9" s="313">
        <v>0</v>
      </c>
      <c r="M9" s="269"/>
      <c r="N9" s="312">
        <v>0.00264736</v>
      </c>
      <c r="O9" s="313">
        <v>0</v>
      </c>
      <c r="P9" s="269"/>
      <c r="Q9" s="312">
        <v>0.00264736</v>
      </c>
      <c r="R9" s="313">
        <v>0</v>
      </c>
    </row>
    <row r="10" spans="1:18" ht="15">
      <c r="A10" s="247">
        <v>43986</v>
      </c>
      <c r="B10" s="291">
        <v>0.02133104</v>
      </c>
      <c r="C10" s="291">
        <v>0</v>
      </c>
      <c r="D10" s="246"/>
      <c r="E10" s="312">
        <v>0.02133104</v>
      </c>
      <c r="F10" s="313">
        <v>0</v>
      </c>
      <c r="G10" s="269"/>
      <c r="H10" s="312">
        <v>0.02133104</v>
      </c>
      <c r="I10" s="313">
        <v>0</v>
      </c>
      <c r="J10" s="269"/>
      <c r="K10" s="312">
        <v>0.02133104</v>
      </c>
      <c r="L10" s="313">
        <v>0</v>
      </c>
      <c r="M10" s="269"/>
      <c r="N10" s="312">
        <v>0.02133104</v>
      </c>
      <c r="O10" s="313">
        <v>0</v>
      </c>
      <c r="P10" s="269"/>
      <c r="Q10" s="312">
        <v>0.02133104</v>
      </c>
      <c r="R10" s="313">
        <v>0</v>
      </c>
    </row>
    <row r="11" spans="1:18" ht="15">
      <c r="A11" s="247">
        <v>44016</v>
      </c>
      <c r="B11" s="291">
        <v>0.02602374</v>
      </c>
      <c r="C11" s="291">
        <v>0</v>
      </c>
      <c r="D11" s="246"/>
      <c r="E11" s="312">
        <v>0.02602374</v>
      </c>
      <c r="F11" s="313">
        <v>0</v>
      </c>
      <c r="G11" s="269"/>
      <c r="H11" s="312">
        <v>0.02602374</v>
      </c>
      <c r="I11" s="313">
        <v>0</v>
      </c>
      <c r="J11" s="269"/>
      <c r="K11" s="312">
        <v>0.02602374</v>
      </c>
      <c r="L11" s="313">
        <v>0</v>
      </c>
      <c r="M11" s="269"/>
      <c r="N11" s="312">
        <v>0.02602374</v>
      </c>
      <c r="O11" s="313">
        <v>0</v>
      </c>
      <c r="P11" s="269"/>
      <c r="Q11" s="312">
        <v>0.02602374</v>
      </c>
      <c r="R11" s="313">
        <v>0</v>
      </c>
    </row>
    <row r="12" spans="1:18" s="257" customFormat="1" ht="15">
      <c r="A12" s="255">
        <v>44047</v>
      </c>
      <c r="B12" s="291">
        <v>0.03135397</v>
      </c>
      <c r="C12" s="291">
        <v>0</v>
      </c>
      <c r="D12" s="256"/>
      <c r="E12" s="312">
        <v>0.03135397</v>
      </c>
      <c r="F12" s="313">
        <v>0</v>
      </c>
      <c r="G12" s="269"/>
      <c r="H12" s="312">
        <v>0.03135397</v>
      </c>
      <c r="I12" s="313">
        <v>0</v>
      </c>
      <c r="J12" s="269"/>
      <c r="K12" s="312">
        <v>0.03135397</v>
      </c>
      <c r="L12" s="313">
        <v>0</v>
      </c>
      <c r="M12" s="269"/>
      <c r="N12" s="312">
        <v>0.03135397</v>
      </c>
      <c r="O12" s="313">
        <v>0</v>
      </c>
      <c r="P12" s="269"/>
      <c r="Q12" s="312">
        <v>0.03135397</v>
      </c>
      <c r="R12" s="313">
        <v>0</v>
      </c>
    </row>
    <row r="13" spans="1:18" s="257" customFormat="1" ht="15">
      <c r="A13" s="255">
        <v>44078</v>
      </c>
      <c r="B13" s="291">
        <v>0.04271421</v>
      </c>
      <c r="C13" s="291">
        <v>0</v>
      </c>
      <c r="D13" s="256"/>
      <c r="E13" s="312">
        <v>0.04271421</v>
      </c>
      <c r="F13" s="313">
        <v>0</v>
      </c>
      <c r="G13" s="269"/>
      <c r="H13" s="312">
        <v>0.04271421</v>
      </c>
      <c r="I13" s="313">
        <v>0</v>
      </c>
      <c r="J13" s="269"/>
      <c r="K13" s="312">
        <v>0.04271421</v>
      </c>
      <c r="L13" s="313">
        <v>0</v>
      </c>
      <c r="M13" s="269"/>
      <c r="N13" s="312">
        <v>0.04271421</v>
      </c>
      <c r="O13" s="313">
        <v>0</v>
      </c>
      <c r="P13" s="269"/>
      <c r="Q13" s="312">
        <v>0.04271421</v>
      </c>
      <c r="R13" s="313">
        <v>0</v>
      </c>
    </row>
    <row r="14" spans="1:18" s="257" customFormat="1" ht="15">
      <c r="A14" s="255">
        <v>44108</v>
      </c>
      <c r="B14" s="291">
        <v>0.05349098</v>
      </c>
      <c r="C14" s="291">
        <v>0</v>
      </c>
      <c r="D14" s="256"/>
      <c r="E14" s="312">
        <v>0.05349098</v>
      </c>
      <c r="F14" s="313">
        <v>0</v>
      </c>
      <c r="G14" s="269"/>
      <c r="H14" s="312">
        <v>0.05349098</v>
      </c>
      <c r="I14" s="313">
        <v>0</v>
      </c>
      <c r="J14" s="269"/>
      <c r="K14" s="312">
        <v>0.05349098</v>
      </c>
      <c r="L14" s="313">
        <v>0</v>
      </c>
      <c r="M14" s="269"/>
      <c r="N14" s="312">
        <v>0.05349098</v>
      </c>
      <c r="O14" s="313">
        <v>0</v>
      </c>
      <c r="P14" s="269"/>
      <c r="Q14" s="312">
        <v>0.05349098</v>
      </c>
      <c r="R14" s="313">
        <v>0</v>
      </c>
    </row>
    <row r="15" spans="1:18" s="257" customFormat="1" ht="15">
      <c r="A15" s="255">
        <v>44139</v>
      </c>
      <c r="B15" s="291">
        <v>0.06055346</v>
      </c>
      <c r="C15" s="291">
        <v>0</v>
      </c>
      <c r="D15" s="256"/>
      <c r="E15" s="312">
        <v>0.06055346</v>
      </c>
      <c r="F15" s="313">
        <v>0</v>
      </c>
      <c r="G15" s="269"/>
      <c r="H15" s="312">
        <v>0.06055346</v>
      </c>
      <c r="I15" s="313">
        <v>0</v>
      </c>
      <c r="J15" s="269"/>
      <c r="K15" s="312">
        <v>0.06055346</v>
      </c>
      <c r="L15" s="313">
        <v>0</v>
      </c>
      <c r="M15" s="269"/>
      <c r="N15" s="312">
        <v>0.06055346</v>
      </c>
      <c r="O15" s="313">
        <v>0</v>
      </c>
      <c r="P15" s="269"/>
      <c r="Q15" s="312">
        <v>0.06055346</v>
      </c>
      <c r="R15" s="313">
        <v>0</v>
      </c>
    </row>
    <row r="16" spans="1:18" ht="15">
      <c r="A16" s="247">
        <v>44169</v>
      </c>
      <c r="B16" s="291">
        <v>0.07066828</v>
      </c>
      <c r="C16" s="291">
        <v>0</v>
      </c>
      <c r="D16" s="246"/>
      <c r="E16" s="312">
        <v>0.07066828</v>
      </c>
      <c r="F16" s="313">
        <v>0</v>
      </c>
      <c r="G16" s="269"/>
      <c r="H16" s="312">
        <v>0.07066828</v>
      </c>
      <c r="I16" s="313">
        <v>0</v>
      </c>
      <c r="J16" s="269"/>
      <c r="K16" s="312">
        <v>0.07066828</v>
      </c>
      <c r="L16" s="313">
        <v>0</v>
      </c>
      <c r="M16" s="269"/>
      <c r="N16" s="312">
        <v>0.07066828</v>
      </c>
      <c r="O16" s="313">
        <v>0</v>
      </c>
      <c r="P16" s="269"/>
      <c r="Q16" s="312">
        <v>0.07066828</v>
      </c>
      <c r="R16" s="313">
        <v>0</v>
      </c>
    </row>
    <row r="17" spans="1:18" ht="15">
      <c r="A17" s="247">
        <v>44200</v>
      </c>
      <c r="B17" s="291">
        <v>0.06700055</v>
      </c>
      <c r="C17" s="291">
        <v>0</v>
      </c>
      <c r="D17" s="246"/>
      <c r="E17" s="312">
        <v>0.06700055</v>
      </c>
      <c r="F17" s="313">
        <v>0</v>
      </c>
      <c r="G17" s="269"/>
      <c r="H17" s="312">
        <v>0.06700055</v>
      </c>
      <c r="I17" s="313">
        <v>0</v>
      </c>
      <c r="J17" s="269"/>
      <c r="K17" s="312">
        <v>0.06700055</v>
      </c>
      <c r="L17" s="313">
        <v>0</v>
      </c>
      <c r="M17" s="269"/>
      <c r="N17" s="312">
        <v>0.06700055</v>
      </c>
      <c r="O17" s="313">
        <v>0</v>
      </c>
      <c r="P17" s="269"/>
      <c r="Q17" s="312">
        <v>0.06700055</v>
      </c>
      <c r="R17" s="313">
        <v>0</v>
      </c>
    </row>
    <row r="18" spans="1:18" ht="15">
      <c r="A18" s="247">
        <v>44231</v>
      </c>
      <c r="B18" s="291">
        <v>0.07629754</v>
      </c>
      <c r="C18" s="291">
        <v>0</v>
      </c>
      <c r="D18" s="246"/>
      <c r="E18" s="312">
        <v>0.07629754</v>
      </c>
      <c r="F18" s="313">
        <v>0</v>
      </c>
      <c r="G18" s="269"/>
      <c r="H18" s="312">
        <v>0.07629754</v>
      </c>
      <c r="I18" s="313">
        <v>0</v>
      </c>
      <c r="J18" s="269"/>
      <c r="K18" s="312">
        <v>0.07629754</v>
      </c>
      <c r="L18" s="313">
        <v>0</v>
      </c>
      <c r="M18" s="269"/>
      <c r="N18" s="312">
        <v>0.07629754</v>
      </c>
      <c r="O18" s="313">
        <v>0</v>
      </c>
      <c r="P18" s="269"/>
      <c r="Q18" s="312">
        <v>0.07629754</v>
      </c>
      <c r="R18" s="313">
        <v>0</v>
      </c>
    </row>
    <row r="19" spans="1:18" ht="15">
      <c r="A19" s="247">
        <v>44259</v>
      </c>
      <c r="B19" s="291">
        <v>0.07406062</v>
      </c>
      <c r="C19" s="291">
        <v>0</v>
      </c>
      <c r="D19" s="246"/>
      <c r="E19" s="312">
        <v>0.07406062</v>
      </c>
      <c r="F19" s="313">
        <v>0</v>
      </c>
      <c r="G19" s="269"/>
      <c r="H19" s="312">
        <v>0.07406062</v>
      </c>
      <c r="I19" s="313">
        <v>0</v>
      </c>
      <c r="J19" s="269"/>
      <c r="K19" s="312">
        <v>0.07406062</v>
      </c>
      <c r="L19" s="313">
        <v>0</v>
      </c>
      <c r="M19" s="269"/>
      <c r="N19" s="312">
        <v>0.07406062</v>
      </c>
      <c r="O19" s="313">
        <v>0</v>
      </c>
      <c r="P19" s="269"/>
      <c r="Q19" s="312">
        <v>0.07406062</v>
      </c>
      <c r="R19" s="313">
        <v>0</v>
      </c>
    </row>
    <row r="20" spans="1:18" ht="15">
      <c r="A20" s="247">
        <v>44290</v>
      </c>
      <c r="B20" s="291">
        <v>0.06365999</v>
      </c>
      <c r="C20" s="291">
        <v>0</v>
      </c>
      <c r="D20" s="246"/>
      <c r="E20" s="312">
        <v>0.06365999</v>
      </c>
      <c r="F20" s="313">
        <v>0</v>
      </c>
      <c r="G20" s="269"/>
      <c r="H20" s="312">
        <v>0.06365999</v>
      </c>
      <c r="I20" s="313">
        <v>0</v>
      </c>
      <c r="J20" s="269"/>
      <c r="K20" s="312">
        <v>0.06365999</v>
      </c>
      <c r="L20" s="313">
        <v>0</v>
      </c>
      <c r="M20" s="269"/>
      <c r="N20" s="312">
        <v>0.06365999</v>
      </c>
      <c r="O20" s="313">
        <v>0</v>
      </c>
      <c r="P20" s="269"/>
      <c r="Q20" s="312">
        <v>0.06365999</v>
      </c>
      <c r="R20" s="313">
        <v>0</v>
      </c>
    </row>
    <row r="21" spans="1:18" ht="15">
      <c r="A21" s="247">
        <v>44320</v>
      </c>
      <c r="B21" s="291">
        <v>0.0200861</v>
      </c>
      <c r="C21" s="291">
        <v>0.0158525</v>
      </c>
      <c r="D21" s="246"/>
      <c r="E21" s="312">
        <v>0.0200861</v>
      </c>
      <c r="F21" s="313">
        <v>0.0158525</v>
      </c>
      <c r="G21" s="269"/>
      <c r="H21" s="312">
        <v>0.0200861</v>
      </c>
      <c r="I21" s="313">
        <v>0.0158525</v>
      </c>
      <c r="J21" s="269"/>
      <c r="K21" s="312">
        <v>0.0200861</v>
      </c>
      <c r="L21" s="313">
        <v>0.0158525</v>
      </c>
      <c r="M21" s="269"/>
      <c r="N21" s="312">
        <v>0.0200861</v>
      </c>
      <c r="O21" s="313">
        <v>0.0158525</v>
      </c>
      <c r="P21" s="269"/>
      <c r="Q21" s="312">
        <v>0.0200861</v>
      </c>
      <c r="R21" s="313">
        <v>0.0158525</v>
      </c>
    </row>
    <row r="22" spans="1:18" ht="15">
      <c r="A22" s="247">
        <v>44351</v>
      </c>
      <c r="B22" s="291">
        <v>0</v>
      </c>
      <c r="C22" s="291">
        <v>0.02892144</v>
      </c>
      <c r="D22" s="246"/>
      <c r="E22" s="312">
        <v>0</v>
      </c>
      <c r="F22" s="313">
        <v>0.02892144</v>
      </c>
      <c r="G22" s="268"/>
      <c r="H22" s="312">
        <v>0</v>
      </c>
      <c r="I22" s="313">
        <v>0.02892144</v>
      </c>
      <c r="J22" s="269"/>
      <c r="K22" s="312">
        <v>0</v>
      </c>
      <c r="L22" s="313">
        <v>0.02892144</v>
      </c>
      <c r="M22" s="269"/>
      <c r="N22" s="312">
        <v>0</v>
      </c>
      <c r="O22" s="313">
        <v>0.02892144</v>
      </c>
      <c r="P22" s="269"/>
      <c r="Q22" s="312">
        <v>0</v>
      </c>
      <c r="R22" s="313">
        <v>0.02892144</v>
      </c>
    </row>
    <row r="23" spans="1:18" ht="15">
      <c r="A23" s="247">
        <v>44381</v>
      </c>
      <c r="B23" s="291">
        <v>0</v>
      </c>
      <c r="C23" s="291">
        <v>0.02259371</v>
      </c>
      <c r="D23" s="246"/>
      <c r="E23" s="312">
        <v>0</v>
      </c>
      <c r="F23" s="313">
        <v>0.02259371</v>
      </c>
      <c r="G23" s="269"/>
      <c r="H23" s="312">
        <v>0</v>
      </c>
      <c r="I23" s="313">
        <v>0.02259371</v>
      </c>
      <c r="J23" s="269"/>
      <c r="K23" s="312">
        <v>0</v>
      </c>
      <c r="L23" s="313">
        <v>0.02259371</v>
      </c>
      <c r="M23" s="314"/>
      <c r="N23" s="312">
        <v>0</v>
      </c>
      <c r="O23" s="313">
        <v>0.02259371</v>
      </c>
      <c r="P23" s="269"/>
      <c r="Q23" s="312">
        <v>0</v>
      </c>
      <c r="R23" s="313">
        <v>0.02259371</v>
      </c>
    </row>
    <row r="24" spans="1:18" ht="12" customHeight="1">
      <c r="A24" s="247">
        <v>44412</v>
      </c>
      <c r="B24" s="291">
        <v>0</v>
      </c>
      <c r="C24" s="291">
        <v>0.02618229</v>
      </c>
      <c r="D24" s="246"/>
      <c r="E24" s="312">
        <v>0</v>
      </c>
      <c r="F24" s="313">
        <v>0.02618229</v>
      </c>
      <c r="G24" s="269"/>
      <c r="H24" s="312">
        <v>0</v>
      </c>
      <c r="I24" s="313">
        <v>0.02618229</v>
      </c>
      <c r="J24" s="269"/>
      <c r="K24" s="312">
        <v>0</v>
      </c>
      <c r="L24" s="313">
        <v>0.02618229</v>
      </c>
      <c r="M24" s="269"/>
      <c r="N24" s="312">
        <v>0</v>
      </c>
      <c r="O24" s="313">
        <v>0.02618229</v>
      </c>
      <c r="P24" s="269"/>
      <c r="Q24" s="312">
        <v>0</v>
      </c>
      <c r="R24" s="313">
        <v>0.02618229</v>
      </c>
    </row>
    <row r="25" spans="1:18" ht="15">
      <c r="A25" s="247">
        <v>44443</v>
      </c>
      <c r="B25" s="291">
        <v>0</v>
      </c>
      <c r="C25" s="291">
        <v>0.02214692</v>
      </c>
      <c r="D25" s="246"/>
      <c r="E25" s="312">
        <v>0</v>
      </c>
      <c r="F25" s="313">
        <v>0.02214692</v>
      </c>
      <c r="G25" s="269"/>
      <c r="H25" s="312">
        <v>0</v>
      </c>
      <c r="I25" s="313">
        <v>0.02214692</v>
      </c>
      <c r="J25" s="269"/>
      <c r="K25" s="312">
        <v>0</v>
      </c>
      <c r="L25" s="313">
        <v>0.02214692</v>
      </c>
      <c r="M25" s="269"/>
      <c r="N25" s="312">
        <v>0</v>
      </c>
      <c r="O25" s="313">
        <v>0.02214692</v>
      </c>
      <c r="P25" s="269"/>
      <c r="Q25" s="312">
        <v>0</v>
      </c>
      <c r="R25" s="313">
        <v>0.02214692</v>
      </c>
    </row>
    <row r="26" spans="1:18" ht="15">
      <c r="A26" s="247">
        <v>44473</v>
      </c>
      <c r="B26" s="291">
        <v>0</v>
      </c>
      <c r="C26" s="291">
        <v>0.01938706</v>
      </c>
      <c r="D26" s="246"/>
      <c r="E26" s="312">
        <v>0</v>
      </c>
      <c r="F26" s="313">
        <v>0.01938706</v>
      </c>
      <c r="G26" s="269"/>
      <c r="H26" s="312">
        <v>0</v>
      </c>
      <c r="I26" s="313">
        <v>0.01938706</v>
      </c>
      <c r="J26" s="269"/>
      <c r="K26" s="312">
        <v>0</v>
      </c>
      <c r="L26" s="313">
        <v>0.01938706</v>
      </c>
      <c r="M26" s="269"/>
      <c r="N26" s="312">
        <v>0</v>
      </c>
      <c r="O26" s="313">
        <v>0.01938706</v>
      </c>
      <c r="P26" s="269"/>
      <c r="Q26" s="312">
        <v>0</v>
      </c>
      <c r="R26" s="313">
        <v>0.01938706</v>
      </c>
    </row>
    <row r="27" spans="1:18" ht="15">
      <c r="A27" s="247">
        <v>44504</v>
      </c>
      <c r="B27" s="291">
        <v>0</v>
      </c>
      <c r="C27" s="291">
        <v>0.01884397</v>
      </c>
      <c r="D27" s="246"/>
      <c r="E27" s="312">
        <v>0</v>
      </c>
      <c r="F27" s="313">
        <v>0.01884397</v>
      </c>
      <c r="G27" s="269"/>
      <c r="H27" s="312">
        <v>0</v>
      </c>
      <c r="I27" s="313">
        <v>0.01884397</v>
      </c>
      <c r="J27" s="269"/>
      <c r="K27" s="312">
        <v>0</v>
      </c>
      <c r="L27" s="313">
        <v>0.01884397</v>
      </c>
      <c r="M27" s="269"/>
      <c r="N27" s="312">
        <v>0</v>
      </c>
      <c r="O27" s="313">
        <v>0.01884397</v>
      </c>
      <c r="P27" s="269"/>
      <c r="Q27" s="312">
        <v>0</v>
      </c>
      <c r="R27" s="313">
        <v>0.01884397</v>
      </c>
    </row>
    <row r="28" spans="1:18" ht="15">
      <c r="A28" s="247">
        <v>44534</v>
      </c>
      <c r="B28" s="291">
        <v>0</v>
      </c>
      <c r="C28" s="291">
        <v>0.02129778</v>
      </c>
      <c r="D28" s="246"/>
      <c r="E28" s="312">
        <v>0</v>
      </c>
      <c r="F28" s="313">
        <v>0.02129778</v>
      </c>
      <c r="G28" s="269"/>
      <c r="H28" s="312">
        <v>0</v>
      </c>
      <c r="I28" s="313">
        <v>0.02129778</v>
      </c>
      <c r="J28" s="269"/>
      <c r="K28" s="312">
        <v>0</v>
      </c>
      <c r="L28" s="313">
        <v>0.02129778</v>
      </c>
      <c r="M28" s="269"/>
      <c r="N28" s="312">
        <v>0</v>
      </c>
      <c r="O28" s="313">
        <v>0.02129778</v>
      </c>
      <c r="P28" s="269"/>
      <c r="Q28" s="312">
        <v>0</v>
      </c>
      <c r="R28" s="313">
        <v>0.02129778</v>
      </c>
    </row>
    <row r="29" spans="1:18" ht="15">
      <c r="A29" s="247">
        <v>44565</v>
      </c>
      <c r="B29" s="291">
        <v>0</v>
      </c>
      <c r="C29" s="291">
        <v>0.01328574</v>
      </c>
      <c r="D29" s="246"/>
      <c r="E29" s="312">
        <v>0</v>
      </c>
      <c r="F29" s="313">
        <v>0.01328574</v>
      </c>
      <c r="G29" s="268"/>
      <c r="H29" s="312">
        <v>0</v>
      </c>
      <c r="I29" s="313">
        <v>0.01328574</v>
      </c>
      <c r="J29" s="269"/>
      <c r="K29" s="312">
        <v>0</v>
      </c>
      <c r="L29" s="313">
        <v>0.01328574</v>
      </c>
      <c r="M29" s="269"/>
      <c r="N29" s="312">
        <v>0</v>
      </c>
      <c r="O29" s="313">
        <v>0.01328574</v>
      </c>
      <c r="P29" s="269"/>
      <c r="Q29" s="312">
        <v>0</v>
      </c>
      <c r="R29" s="313">
        <v>0.01328574</v>
      </c>
    </row>
    <row r="30" spans="1:18" ht="15">
      <c r="A30" s="247">
        <v>44596</v>
      </c>
      <c r="B30" s="291">
        <v>0</v>
      </c>
      <c r="C30" s="291">
        <v>0.01759811</v>
      </c>
      <c r="D30" s="246"/>
      <c r="E30" s="312">
        <v>0</v>
      </c>
      <c r="F30" s="313">
        <v>0.01759811</v>
      </c>
      <c r="G30" s="268"/>
      <c r="H30" s="312">
        <v>0</v>
      </c>
      <c r="I30" s="313">
        <v>0.01759811</v>
      </c>
      <c r="J30" s="269"/>
      <c r="K30" s="312">
        <v>0</v>
      </c>
      <c r="L30" s="313">
        <v>0.01759811</v>
      </c>
      <c r="M30" s="269"/>
      <c r="N30" s="312">
        <v>0</v>
      </c>
      <c r="O30" s="313">
        <v>0.01759811</v>
      </c>
      <c r="P30" s="269"/>
      <c r="Q30" s="312">
        <v>0</v>
      </c>
      <c r="R30" s="313">
        <v>0.01759811</v>
      </c>
    </row>
    <row r="31" spans="1:18" ht="15">
      <c r="A31" s="247">
        <v>44624</v>
      </c>
      <c r="B31" s="291">
        <v>0</v>
      </c>
      <c r="C31" s="291">
        <v>0.01624602</v>
      </c>
      <c r="D31" s="246"/>
      <c r="E31" s="312">
        <v>0</v>
      </c>
      <c r="F31" s="313">
        <v>0.01624602</v>
      </c>
      <c r="G31" s="268"/>
      <c r="H31" s="312">
        <v>0</v>
      </c>
      <c r="I31" s="313">
        <v>0.01624602</v>
      </c>
      <c r="J31" s="269"/>
      <c r="K31" s="312">
        <v>0</v>
      </c>
      <c r="L31" s="313">
        <v>0.01624602</v>
      </c>
      <c r="M31" s="269"/>
      <c r="N31" s="312">
        <v>0</v>
      </c>
      <c r="O31" s="313">
        <v>0.01624602</v>
      </c>
      <c r="P31" s="269"/>
      <c r="Q31" s="312">
        <v>0</v>
      </c>
      <c r="R31" s="313">
        <v>0.01624602</v>
      </c>
    </row>
    <row r="32" spans="1:18" ht="15">
      <c r="A32" s="247">
        <v>44655</v>
      </c>
      <c r="B32" s="291">
        <v>0</v>
      </c>
      <c r="C32" s="291">
        <v>0.01670805</v>
      </c>
      <c r="D32" s="246"/>
      <c r="E32" s="312">
        <v>0</v>
      </c>
      <c r="F32" s="313">
        <v>0.01670805</v>
      </c>
      <c r="G32" s="268"/>
      <c r="H32" s="312">
        <v>0</v>
      </c>
      <c r="I32" s="313">
        <v>0.01670805</v>
      </c>
      <c r="J32" s="269"/>
      <c r="K32" s="312">
        <v>0</v>
      </c>
      <c r="L32" s="313">
        <v>0.01670805</v>
      </c>
      <c r="M32" s="269"/>
      <c r="N32" s="312">
        <v>0</v>
      </c>
      <c r="O32" s="313">
        <v>0.01670805</v>
      </c>
      <c r="P32" s="269"/>
      <c r="Q32" s="312">
        <v>0</v>
      </c>
      <c r="R32" s="313">
        <v>0.01670805</v>
      </c>
    </row>
    <row r="33" spans="1:18" ht="15">
      <c r="A33" s="247">
        <v>44685</v>
      </c>
      <c r="B33" s="291">
        <v>0</v>
      </c>
      <c r="C33" s="291">
        <v>0.01450048</v>
      </c>
      <c r="D33" s="246"/>
      <c r="E33" s="312">
        <v>0</v>
      </c>
      <c r="F33" s="313">
        <v>0.01450048</v>
      </c>
      <c r="G33" s="269"/>
      <c r="H33" s="312">
        <v>0</v>
      </c>
      <c r="I33" s="313">
        <v>0.01450048</v>
      </c>
      <c r="J33" s="269"/>
      <c r="K33" s="312">
        <v>0</v>
      </c>
      <c r="L33" s="313">
        <v>0.01450048</v>
      </c>
      <c r="M33" s="269"/>
      <c r="N33" s="312">
        <v>0</v>
      </c>
      <c r="O33" s="313">
        <v>0.01450048</v>
      </c>
      <c r="P33" s="269"/>
      <c r="Q33" s="312">
        <v>0</v>
      </c>
      <c r="R33" s="313">
        <v>0.01450048</v>
      </c>
    </row>
    <row r="34" spans="1:18" ht="15">
      <c r="A34" s="247">
        <v>44716</v>
      </c>
      <c r="B34" s="291">
        <v>0</v>
      </c>
      <c r="C34" s="291">
        <v>0.0159464</v>
      </c>
      <c r="D34" s="246"/>
      <c r="E34" s="312">
        <v>0</v>
      </c>
      <c r="F34" s="313">
        <v>0.0159464</v>
      </c>
      <c r="G34" s="341"/>
      <c r="H34" s="312">
        <v>0</v>
      </c>
      <c r="I34" s="313">
        <v>0.0159464</v>
      </c>
      <c r="J34" s="269"/>
      <c r="K34" s="312">
        <v>0</v>
      </c>
      <c r="L34" s="313">
        <v>0.0159464</v>
      </c>
      <c r="M34" s="269"/>
      <c r="N34" s="312">
        <v>0</v>
      </c>
      <c r="O34" s="313">
        <v>0.0159464</v>
      </c>
      <c r="P34" s="269"/>
      <c r="Q34" s="312">
        <v>0</v>
      </c>
      <c r="R34" s="313">
        <v>0.0159464</v>
      </c>
    </row>
    <row r="35" spans="1:18" ht="15">
      <c r="A35" s="247">
        <v>44746</v>
      </c>
      <c r="B35" s="293">
        <v>0</v>
      </c>
      <c r="C35" s="293">
        <v>0.01568914</v>
      </c>
      <c r="D35" s="246"/>
      <c r="E35" s="312">
        <v>0</v>
      </c>
      <c r="F35" s="313">
        <v>0.01568914</v>
      </c>
      <c r="G35" s="271"/>
      <c r="H35" s="312">
        <v>0</v>
      </c>
      <c r="I35" s="313">
        <v>0.01568914</v>
      </c>
      <c r="J35" s="271"/>
      <c r="K35" s="312">
        <v>0</v>
      </c>
      <c r="L35" s="313">
        <v>0.01568914</v>
      </c>
      <c r="M35" s="285"/>
      <c r="N35" s="312">
        <v>0</v>
      </c>
      <c r="O35" s="313">
        <v>0.01568914</v>
      </c>
      <c r="P35" s="285"/>
      <c r="Q35" s="312">
        <v>0</v>
      </c>
      <c r="R35" s="313">
        <v>0.01568914</v>
      </c>
    </row>
    <row r="36" spans="1:18" s="287" customFormat="1" ht="15">
      <c r="A36" s="277">
        <v>44777</v>
      </c>
      <c r="B36" s="294">
        <v>0</v>
      </c>
      <c r="C36" s="294">
        <v>0.01075758</v>
      </c>
      <c r="D36" s="278"/>
      <c r="E36" s="319">
        <v>0</v>
      </c>
      <c r="F36" s="320">
        <v>0.01075758</v>
      </c>
      <c r="G36" s="321"/>
      <c r="H36" s="319">
        <v>0</v>
      </c>
      <c r="I36" s="320">
        <v>0.01075758</v>
      </c>
      <c r="J36" s="321"/>
      <c r="K36" s="319">
        <v>0</v>
      </c>
      <c r="L36" s="320">
        <v>0.01075758</v>
      </c>
      <c r="M36" s="286"/>
      <c r="N36" s="319">
        <v>0</v>
      </c>
      <c r="O36" s="320">
        <v>0.01075758</v>
      </c>
      <c r="P36" s="286"/>
      <c r="Q36" s="319">
        <v>0</v>
      </c>
      <c r="R36" s="320">
        <v>0.01075758</v>
      </c>
    </row>
    <row r="37" spans="1:18" ht="12" customHeight="1">
      <c r="A37" s="247">
        <v>44808</v>
      </c>
      <c r="B37" s="291">
        <v>0</v>
      </c>
      <c r="C37" s="291">
        <v>0</v>
      </c>
      <c r="D37" s="246"/>
      <c r="E37" s="310">
        <v>0</v>
      </c>
      <c r="F37" s="311">
        <v>0.00966385</v>
      </c>
      <c r="G37" s="270"/>
      <c r="H37" s="310">
        <v>0</v>
      </c>
      <c r="I37" s="311">
        <v>0.01217881</v>
      </c>
      <c r="J37" s="270"/>
      <c r="K37" s="310">
        <v>0</v>
      </c>
      <c r="L37" s="311">
        <v>0.01479839</v>
      </c>
      <c r="M37" s="267"/>
      <c r="N37" s="310">
        <v>0</v>
      </c>
      <c r="O37" s="311">
        <v>0.01894518</v>
      </c>
      <c r="P37" s="267"/>
      <c r="Q37" s="310">
        <v>0</v>
      </c>
      <c r="R37" s="311">
        <v>0.01569075</v>
      </c>
    </row>
    <row r="38" spans="1:18" ht="15">
      <c r="A38" s="247">
        <v>44838</v>
      </c>
      <c r="B38" s="291">
        <v>0</v>
      </c>
      <c r="C38" s="291">
        <v>0</v>
      </c>
      <c r="D38" s="246"/>
      <c r="E38" s="312">
        <v>0</v>
      </c>
      <c r="F38" s="313">
        <v>0.00957934</v>
      </c>
      <c r="G38" s="271"/>
      <c r="H38" s="312">
        <v>0</v>
      </c>
      <c r="I38" s="313">
        <v>0.01201591</v>
      </c>
      <c r="J38" s="271"/>
      <c r="K38" s="312">
        <v>0</v>
      </c>
      <c r="L38" s="313">
        <v>0.01453476</v>
      </c>
      <c r="M38" s="269"/>
      <c r="N38" s="312">
        <v>0</v>
      </c>
      <c r="O38" s="313">
        <v>0.01848222</v>
      </c>
      <c r="P38" s="269"/>
      <c r="Q38" s="312">
        <v>0</v>
      </c>
      <c r="R38" s="313">
        <v>0.01538835</v>
      </c>
    </row>
    <row r="39" spans="1:18" ht="15">
      <c r="A39" s="247">
        <v>44869</v>
      </c>
      <c r="B39" s="291">
        <v>0</v>
      </c>
      <c r="C39" s="291">
        <v>0</v>
      </c>
      <c r="D39" s="246"/>
      <c r="E39" s="310">
        <v>0</v>
      </c>
      <c r="F39" s="311">
        <v>0.00950582</v>
      </c>
      <c r="G39" s="270"/>
      <c r="H39" s="310">
        <v>0</v>
      </c>
      <c r="I39" s="311">
        <v>0.01186522</v>
      </c>
      <c r="J39" s="270"/>
      <c r="K39" s="310">
        <v>0</v>
      </c>
      <c r="L39" s="311">
        <v>0.01428557</v>
      </c>
      <c r="M39" s="267"/>
      <c r="N39" s="310">
        <v>0</v>
      </c>
      <c r="O39" s="311">
        <v>0.01803988</v>
      </c>
      <c r="P39" s="272"/>
      <c r="Q39" s="310">
        <v>0</v>
      </c>
      <c r="R39" s="311">
        <v>0.01510143</v>
      </c>
    </row>
    <row r="40" spans="1:18" ht="15">
      <c r="A40" s="247">
        <v>44899</v>
      </c>
      <c r="B40" s="291">
        <v>0</v>
      </c>
      <c r="C40" s="291">
        <v>0</v>
      </c>
      <c r="D40" s="246"/>
      <c r="E40" s="310">
        <v>0</v>
      </c>
      <c r="F40" s="311">
        <v>0.00941594</v>
      </c>
      <c r="G40" s="270"/>
      <c r="H40" s="310">
        <v>0</v>
      </c>
      <c r="I40" s="311">
        <v>0.01169958</v>
      </c>
      <c r="J40" s="270"/>
      <c r="K40" s="310">
        <v>0</v>
      </c>
      <c r="L40" s="311">
        <v>0.01402391</v>
      </c>
      <c r="M40" s="267"/>
      <c r="N40" s="310">
        <v>0</v>
      </c>
      <c r="O40" s="311">
        <v>0.0175915</v>
      </c>
      <c r="P40" s="272"/>
      <c r="Q40" s="310">
        <v>0</v>
      </c>
      <c r="R40" s="311">
        <v>0.01480314</v>
      </c>
    </row>
    <row r="41" spans="1:18" ht="15">
      <c r="A41" s="247">
        <v>44930</v>
      </c>
      <c r="B41" s="291">
        <v>0</v>
      </c>
      <c r="C41" s="291">
        <v>0</v>
      </c>
      <c r="D41" s="246"/>
      <c r="E41" s="312">
        <v>0</v>
      </c>
      <c r="F41" s="313">
        <v>0.00931354</v>
      </c>
      <c r="G41" s="271"/>
      <c r="H41" s="312">
        <v>0</v>
      </c>
      <c r="I41" s="313">
        <v>0.01152302</v>
      </c>
      <c r="J41" s="271"/>
      <c r="K41" s="312">
        <v>0</v>
      </c>
      <c r="L41" s="313">
        <v>0.0137539</v>
      </c>
      <c r="M41" s="269"/>
      <c r="N41" s="312">
        <v>0</v>
      </c>
      <c r="O41" s="313">
        <v>0.01714128</v>
      </c>
      <c r="P41" s="269"/>
      <c r="Q41" s="312">
        <v>0</v>
      </c>
      <c r="R41" s="313">
        <v>0.01449764</v>
      </c>
    </row>
    <row r="42" spans="1:18" ht="15">
      <c r="A42" s="247">
        <v>44961</v>
      </c>
      <c r="B42" s="291">
        <v>0</v>
      </c>
      <c r="C42" s="291">
        <v>0</v>
      </c>
      <c r="D42" s="246"/>
      <c r="E42" s="310">
        <v>0</v>
      </c>
      <c r="F42" s="311">
        <v>0.00923897</v>
      </c>
      <c r="G42" s="270"/>
      <c r="H42" s="310">
        <v>0</v>
      </c>
      <c r="I42" s="311">
        <v>0.01137515</v>
      </c>
      <c r="J42" s="270"/>
      <c r="K42" s="310">
        <v>0</v>
      </c>
      <c r="L42" s="311">
        <v>0.01351443</v>
      </c>
      <c r="M42" s="272"/>
      <c r="N42" s="310">
        <v>0</v>
      </c>
      <c r="O42" s="311">
        <v>0.01672684</v>
      </c>
      <c r="P42" s="267"/>
      <c r="Q42" s="310">
        <v>0</v>
      </c>
      <c r="R42" s="311">
        <v>0.01422355</v>
      </c>
    </row>
    <row r="43" spans="1:18" ht="15">
      <c r="A43" s="247">
        <v>44989</v>
      </c>
      <c r="B43" s="291">
        <v>0</v>
      </c>
      <c r="C43" s="291">
        <v>0</v>
      </c>
      <c r="D43" s="246"/>
      <c r="E43" s="312">
        <v>0</v>
      </c>
      <c r="F43" s="313">
        <v>0.00914575</v>
      </c>
      <c r="G43" s="269"/>
      <c r="H43" s="312">
        <v>0</v>
      </c>
      <c r="I43" s="313">
        <v>0.01121029</v>
      </c>
      <c r="J43" s="269"/>
      <c r="K43" s="312">
        <v>0</v>
      </c>
      <c r="L43" s="313">
        <v>0.0132606</v>
      </c>
      <c r="M43" s="268"/>
      <c r="N43" s="312">
        <v>0</v>
      </c>
      <c r="O43" s="313">
        <v>0.0163044</v>
      </c>
      <c r="P43" s="269"/>
      <c r="Q43" s="312">
        <v>0</v>
      </c>
      <c r="R43" s="313">
        <v>0.01393622</v>
      </c>
    </row>
    <row r="44" spans="1:18" ht="15">
      <c r="A44" s="247">
        <v>45020</v>
      </c>
      <c r="B44" s="291">
        <v>0</v>
      </c>
      <c r="C44" s="291">
        <v>0</v>
      </c>
      <c r="D44" s="246"/>
      <c r="E44" s="310">
        <v>0</v>
      </c>
      <c r="F44" s="311">
        <v>0.00906695</v>
      </c>
      <c r="G44" s="272"/>
      <c r="H44" s="310">
        <v>0</v>
      </c>
      <c r="I44" s="311">
        <v>0.01106082</v>
      </c>
      <c r="J44" s="272"/>
      <c r="K44" s="310">
        <v>0</v>
      </c>
      <c r="L44" s="311">
        <v>0.01302403</v>
      </c>
      <c r="M44" s="272"/>
      <c r="N44" s="310">
        <v>0</v>
      </c>
      <c r="O44" s="311">
        <v>0.01590438</v>
      </c>
      <c r="P44" s="267"/>
      <c r="Q44" s="310">
        <v>0</v>
      </c>
      <c r="R44" s="311">
        <v>0.01366703</v>
      </c>
    </row>
    <row r="45" spans="1:18" ht="15">
      <c r="A45" s="247">
        <v>45050</v>
      </c>
      <c r="B45" s="291">
        <v>0</v>
      </c>
      <c r="C45" s="291">
        <v>0</v>
      </c>
      <c r="D45" s="246"/>
      <c r="E45" s="312">
        <v>0</v>
      </c>
      <c r="F45" s="313">
        <v>0.00899</v>
      </c>
      <c r="G45" s="269"/>
      <c r="H45" s="312">
        <v>0</v>
      </c>
      <c r="I45" s="313">
        <v>0.01091437</v>
      </c>
      <c r="J45" s="269"/>
      <c r="K45" s="312">
        <v>0</v>
      </c>
      <c r="L45" s="313">
        <v>0.01279254</v>
      </c>
      <c r="M45" s="269"/>
      <c r="N45" s="312">
        <v>0</v>
      </c>
      <c r="O45" s="313">
        <v>0.01551475</v>
      </c>
      <c r="P45" s="269"/>
      <c r="Q45" s="312">
        <v>0</v>
      </c>
      <c r="R45" s="313">
        <v>0.01340383</v>
      </c>
    </row>
    <row r="46" spans="1:18" ht="15">
      <c r="A46" s="247">
        <v>45081</v>
      </c>
      <c r="B46" s="291">
        <v>0</v>
      </c>
      <c r="C46" s="291">
        <v>0</v>
      </c>
      <c r="D46" s="246"/>
      <c r="E46" s="310">
        <v>0</v>
      </c>
      <c r="F46" s="311">
        <v>0.0089035</v>
      </c>
      <c r="G46" s="267"/>
      <c r="H46" s="310">
        <v>0</v>
      </c>
      <c r="I46" s="311">
        <v>0.01075988</v>
      </c>
      <c r="J46" s="267"/>
      <c r="K46" s="310">
        <v>0</v>
      </c>
      <c r="L46" s="311">
        <v>0.0125554</v>
      </c>
      <c r="M46" s="267"/>
      <c r="N46" s="310">
        <v>0</v>
      </c>
      <c r="O46" s="311">
        <v>0.01512522</v>
      </c>
      <c r="P46" s="267"/>
      <c r="Q46" s="310">
        <v>0</v>
      </c>
      <c r="R46" s="311">
        <v>0.01313601</v>
      </c>
    </row>
    <row r="47" spans="1:18" ht="15">
      <c r="A47" s="247">
        <v>45111</v>
      </c>
      <c r="B47" s="291">
        <v>0</v>
      </c>
      <c r="C47" s="291">
        <v>0</v>
      </c>
      <c r="D47" s="246"/>
      <c r="E47" s="312">
        <v>0</v>
      </c>
      <c r="F47" s="313">
        <v>0.00882386</v>
      </c>
      <c r="G47" s="268"/>
      <c r="H47" s="312">
        <v>0</v>
      </c>
      <c r="I47" s="313">
        <v>0.01061327</v>
      </c>
      <c r="J47" s="268"/>
      <c r="K47" s="312">
        <v>0</v>
      </c>
      <c r="L47" s="313">
        <v>0.012328</v>
      </c>
      <c r="M47" s="269"/>
      <c r="N47" s="312">
        <v>0</v>
      </c>
      <c r="O47" s="313">
        <v>0.01475029</v>
      </c>
      <c r="P47" s="269"/>
      <c r="Q47" s="312">
        <v>0</v>
      </c>
      <c r="R47" s="313">
        <v>0.01287877</v>
      </c>
    </row>
    <row r="48" spans="1:18" ht="15">
      <c r="A48" s="247">
        <v>45142</v>
      </c>
      <c r="B48" s="291">
        <v>0</v>
      </c>
      <c r="C48" s="291">
        <v>0</v>
      </c>
      <c r="D48" s="246"/>
      <c r="E48" s="310">
        <v>0</v>
      </c>
      <c r="F48" s="311">
        <v>0.00875759</v>
      </c>
      <c r="G48" s="267"/>
      <c r="H48" s="310">
        <v>0</v>
      </c>
      <c r="I48" s="311">
        <v>0.01048069</v>
      </c>
      <c r="J48" s="267"/>
      <c r="K48" s="310">
        <v>0</v>
      </c>
      <c r="L48" s="311">
        <v>0.01211612</v>
      </c>
      <c r="M48" s="267"/>
      <c r="N48" s="310">
        <v>0</v>
      </c>
      <c r="O48" s="311">
        <v>0.01439508</v>
      </c>
      <c r="P48" s="267"/>
      <c r="Q48" s="310">
        <v>0</v>
      </c>
      <c r="R48" s="311">
        <v>0.01263775</v>
      </c>
    </row>
    <row r="49" spans="1:18" ht="15">
      <c r="A49" s="247">
        <v>45173</v>
      </c>
      <c r="B49" s="291">
        <v>0</v>
      </c>
      <c r="C49" s="291">
        <v>0</v>
      </c>
      <c r="D49" s="246"/>
      <c r="E49" s="312">
        <v>0</v>
      </c>
      <c r="F49" s="313">
        <v>0.00869808</v>
      </c>
      <c r="G49" s="268"/>
      <c r="H49" s="312">
        <v>0</v>
      </c>
      <c r="I49" s="313">
        <v>0.01035561</v>
      </c>
      <c r="J49" s="268"/>
      <c r="K49" s="312">
        <v>0</v>
      </c>
      <c r="L49" s="313">
        <v>0.01191327</v>
      </c>
      <c r="M49" s="269"/>
      <c r="N49" s="312">
        <v>0</v>
      </c>
      <c r="O49" s="313">
        <v>0.01405315</v>
      </c>
      <c r="P49" s="269"/>
      <c r="Q49" s="312">
        <v>0</v>
      </c>
      <c r="R49" s="313">
        <v>0.01240649</v>
      </c>
    </row>
    <row r="50" spans="1:18" ht="15">
      <c r="A50" s="247">
        <v>45203</v>
      </c>
      <c r="B50" s="291">
        <v>0</v>
      </c>
      <c r="C50" s="291">
        <v>0</v>
      </c>
      <c r="D50" s="246"/>
      <c r="E50" s="310">
        <v>0</v>
      </c>
      <c r="F50" s="311">
        <v>0.0086341</v>
      </c>
      <c r="G50" s="267"/>
      <c r="H50" s="310">
        <v>0</v>
      </c>
      <c r="I50" s="311">
        <v>0.01022725</v>
      </c>
      <c r="J50" s="267"/>
      <c r="K50" s="310">
        <v>0</v>
      </c>
      <c r="L50" s="311">
        <v>0.01170914</v>
      </c>
      <c r="M50" s="267"/>
      <c r="N50" s="310">
        <v>0</v>
      </c>
      <c r="O50" s="311">
        <v>0.01371476</v>
      </c>
      <c r="P50" s="267"/>
      <c r="Q50" s="310">
        <v>0</v>
      </c>
      <c r="R50" s="311">
        <v>0.0121748</v>
      </c>
    </row>
    <row r="51" spans="1:18" ht="15">
      <c r="A51" s="247">
        <v>45234</v>
      </c>
      <c r="B51" s="291">
        <v>0</v>
      </c>
      <c r="C51" s="291">
        <v>0</v>
      </c>
      <c r="D51" s="246"/>
      <c r="E51" s="312">
        <v>0</v>
      </c>
      <c r="F51" s="313">
        <v>0.00856674</v>
      </c>
      <c r="G51" s="269"/>
      <c r="H51" s="312">
        <v>0</v>
      </c>
      <c r="I51" s="313">
        <v>0.0100967</v>
      </c>
      <c r="J51" s="269"/>
      <c r="K51" s="312">
        <v>0</v>
      </c>
      <c r="L51" s="313">
        <v>0.01150477</v>
      </c>
      <c r="M51" s="269"/>
      <c r="N51" s="312">
        <v>0</v>
      </c>
      <c r="O51" s="313">
        <v>0.01338085</v>
      </c>
      <c r="P51" s="269"/>
      <c r="Q51" s="312">
        <v>0</v>
      </c>
      <c r="R51" s="313">
        <v>0.01194372</v>
      </c>
    </row>
    <row r="52" spans="1:18" ht="15">
      <c r="A52" s="247">
        <v>45264</v>
      </c>
      <c r="B52" s="291">
        <v>0</v>
      </c>
      <c r="C52" s="291">
        <v>0</v>
      </c>
      <c r="D52" s="246"/>
      <c r="E52" s="310">
        <v>0</v>
      </c>
      <c r="F52" s="311">
        <v>0.00849561</v>
      </c>
      <c r="G52" s="267"/>
      <c r="H52" s="310">
        <v>0</v>
      </c>
      <c r="I52" s="311">
        <v>0.00996364</v>
      </c>
      <c r="J52" s="267"/>
      <c r="K52" s="310">
        <v>0</v>
      </c>
      <c r="L52" s="311">
        <v>0.01129989</v>
      </c>
      <c r="M52" s="267"/>
      <c r="N52" s="310">
        <v>0</v>
      </c>
      <c r="O52" s="311">
        <v>0.01305112</v>
      </c>
      <c r="P52" s="267"/>
      <c r="Q52" s="310">
        <v>0</v>
      </c>
      <c r="R52" s="311">
        <v>0.01171298</v>
      </c>
    </row>
    <row r="53" spans="1:18" ht="15">
      <c r="A53" s="247">
        <v>45295</v>
      </c>
      <c r="B53" s="291">
        <v>0</v>
      </c>
      <c r="C53" s="291">
        <v>0</v>
      </c>
      <c r="D53" s="246"/>
      <c r="E53" s="312">
        <v>0</v>
      </c>
      <c r="F53" s="313">
        <v>0.00841389</v>
      </c>
      <c r="G53" s="269"/>
      <c r="H53" s="312">
        <v>0</v>
      </c>
      <c r="I53" s="313">
        <v>0.00982171</v>
      </c>
      <c r="J53" s="269"/>
      <c r="K53" s="312">
        <v>0</v>
      </c>
      <c r="L53" s="313">
        <v>0.01108855</v>
      </c>
      <c r="M53" s="269"/>
      <c r="N53" s="312">
        <v>0</v>
      </c>
      <c r="O53" s="313">
        <v>0.01272016</v>
      </c>
      <c r="P53" s="269"/>
      <c r="Q53" s="312">
        <v>0</v>
      </c>
      <c r="R53" s="313">
        <v>0.01147675</v>
      </c>
    </row>
    <row r="54" spans="1:18" ht="15">
      <c r="A54" s="247">
        <v>45326</v>
      </c>
      <c r="B54" s="291">
        <v>0</v>
      </c>
      <c r="C54" s="291">
        <v>0</v>
      </c>
      <c r="D54" s="246"/>
      <c r="E54" s="310">
        <v>0</v>
      </c>
      <c r="F54" s="311">
        <v>0.00833885</v>
      </c>
      <c r="G54" s="267"/>
      <c r="H54" s="310">
        <v>0</v>
      </c>
      <c r="I54" s="311">
        <v>0.00968721</v>
      </c>
      <c r="J54" s="267"/>
      <c r="K54" s="310">
        <v>0</v>
      </c>
      <c r="L54" s="311">
        <v>0.01088609</v>
      </c>
      <c r="M54" s="267"/>
      <c r="N54" s="310">
        <v>0</v>
      </c>
      <c r="O54" s="311">
        <v>0.01240184</v>
      </c>
      <c r="P54" s="267"/>
      <c r="Q54" s="310">
        <v>0</v>
      </c>
      <c r="R54" s="311">
        <v>0.01125007</v>
      </c>
    </row>
    <row r="55" spans="1:18" ht="15">
      <c r="A55" s="247">
        <v>45355</v>
      </c>
      <c r="B55" s="291">
        <v>0</v>
      </c>
      <c r="C55" s="291">
        <v>0</v>
      </c>
      <c r="D55" s="246"/>
      <c r="E55" s="312">
        <v>0</v>
      </c>
      <c r="F55" s="313">
        <v>0.00826877</v>
      </c>
      <c r="G55" s="269"/>
      <c r="H55" s="312">
        <v>0</v>
      </c>
      <c r="I55" s="313">
        <v>0.00955843</v>
      </c>
      <c r="J55" s="269"/>
      <c r="K55" s="312">
        <v>0</v>
      </c>
      <c r="L55" s="313">
        <v>0.01069082</v>
      </c>
      <c r="M55" s="269"/>
      <c r="N55" s="312">
        <v>0</v>
      </c>
      <c r="O55" s="313">
        <v>0.01209438</v>
      </c>
      <c r="P55" s="269"/>
      <c r="Q55" s="312">
        <v>0</v>
      </c>
      <c r="R55" s="313">
        <v>0.01103122</v>
      </c>
    </row>
    <row r="56" spans="1:18" ht="15">
      <c r="A56" s="247">
        <v>45386</v>
      </c>
      <c r="B56" s="291">
        <v>0</v>
      </c>
      <c r="C56" s="291">
        <v>0</v>
      </c>
      <c r="D56" s="246"/>
      <c r="E56" s="310">
        <v>0</v>
      </c>
      <c r="F56" s="311">
        <v>0.00819489</v>
      </c>
      <c r="G56" s="267"/>
      <c r="H56" s="310">
        <v>0</v>
      </c>
      <c r="I56" s="311">
        <v>0.00942717</v>
      </c>
      <c r="J56" s="267"/>
      <c r="K56" s="310">
        <v>0</v>
      </c>
      <c r="L56" s="311">
        <v>0.01049501</v>
      </c>
      <c r="M56" s="267"/>
      <c r="N56" s="310">
        <v>0</v>
      </c>
      <c r="O56" s="311">
        <v>0.01179073</v>
      </c>
      <c r="P56" s="267"/>
      <c r="Q56" s="310">
        <v>0</v>
      </c>
      <c r="R56" s="311">
        <v>0.01081263</v>
      </c>
    </row>
    <row r="57" spans="1:18" ht="15">
      <c r="A57" s="247">
        <v>45416</v>
      </c>
      <c r="B57" s="291">
        <v>0</v>
      </c>
      <c r="C57" s="291">
        <v>0</v>
      </c>
      <c r="D57" s="246"/>
      <c r="E57" s="312">
        <v>0</v>
      </c>
      <c r="F57" s="313">
        <v>0.00811929</v>
      </c>
      <c r="G57" s="269"/>
      <c r="H57" s="312">
        <v>0</v>
      </c>
      <c r="I57" s="313">
        <v>0.00929538</v>
      </c>
      <c r="J57" s="269"/>
      <c r="K57" s="312">
        <v>0</v>
      </c>
      <c r="L57" s="313">
        <v>0.0103005</v>
      </c>
      <c r="M57" s="269"/>
      <c r="N57" s="312">
        <v>0</v>
      </c>
      <c r="O57" s="313">
        <v>0.0114925</v>
      </c>
      <c r="P57" s="269"/>
      <c r="Q57" s="312">
        <v>0</v>
      </c>
      <c r="R57" s="313">
        <v>0.01059611</v>
      </c>
    </row>
    <row r="58" spans="1:18" ht="15">
      <c r="A58" s="247">
        <v>45447</v>
      </c>
      <c r="B58" s="291">
        <v>0</v>
      </c>
      <c r="C58" s="291">
        <v>0</v>
      </c>
      <c r="D58" s="246"/>
      <c r="E58" s="310">
        <v>0</v>
      </c>
      <c r="F58" s="311">
        <v>0.00805879</v>
      </c>
      <c r="G58" s="267"/>
      <c r="H58" s="310">
        <v>0</v>
      </c>
      <c r="I58" s="311">
        <v>0.00917862</v>
      </c>
      <c r="J58" s="267"/>
      <c r="K58" s="310">
        <v>0</v>
      </c>
      <c r="L58" s="311">
        <v>0.01012161</v>
      </c>
      <c r="M58" s="267"/>
      <c r="N58" s="310">
        <v>0</v>
      </c>
      <c r="O58" s="311">
        <v>0.01121212</v>
      </c>
      <c r="P58" s="267"/>
      <c r="Q58" s="310">
        <v>0</v>
      </c>
      <c r="R58" s="311">
        <v>0.01039555</v>
      </c>
    </row>
    <row r="59" spans="1:18" ht="15">
      <c r="A59" s="247">
        <v>45477</v>
      </c>
      <c r="B59" s="291">
        <v>0</v>
      </c>
      <c r="C59" s="291">
        <v>0</v>
      </c>
      <c r="D59" s="246"/>
      <c r="E59" s="312">
        <v>0</v>
      </c>
      <c r="F59" s="313">
        <v>0.00799802</v>
      </c>
      <c r="G59" s="269"/>
      <c r="H59" s="312">
        <v>0</v>
      </c>
      <c r="I59" s="313">
        <v>0.00906254</v>
      </c>
      <c r="J59" s="269"/>
      <c r="K59" s="312">
        <v>0</v>
      </c>
      <c r="L59" s="313">
        <v>0.00994495</v>
      </c>
      <c r="M59" s="269"/>
      <c r="N59" s="312">
        <v>0</v>
      </c>
      <c r="O59" s="313">
        <v>0.01316208</v>
      </c>
      <c r="P59" s="269"/>
      <c r="Q59" s="312">
        <v>0</v>
      </c>
      <c r="R59" s="313">
        <v>0.01019788</v>
      </c>
    </row>
    <row r="60" spans="1:18" ht="15">
      <c r="A60" s="247">
        <v>45508</v>
      </c>
      <c r="B60" s="291">
        <v>0</v>
      </c>
      <c r="C60" s="291">
        <v>0</v>
      </c>
      <c r="D60" s="246"/>
      <c r="E60" s="310">
        <v>0</v>
      </c>
      <c r="F60" s="311">
        <v>0.00792016</v>
      </c>
      <c r="G60" s="267"/>
      <c r="H60" s="310">
        <v>0</v>
      </c>
      <c r="I60" s="311">
        <v>0.0089317</v>
      </c>
      <c r="J60" s="267"/>
      <c r="K60" s="310">
        <v>0</v>
      </c>
      <c r="L60" s="311">
        <v>0.0097564</v>
      </c>
      <c r="M60" s="267"/>
      <c r="N60" s="310">
        <v>0</v>
      </c>
      <c r="O60" s="311">
        <v>0.01304733</v>
      </c>
      <c r="P60" s="267"/>
      <c r="Q60" s="310">
        <v>0</v>
      </c>
      <c r="R60" s="311">
        <v>0.01012693</v>
      </c>
    </row>
    <row r="61" spans="1:18" ht="15">
      <c r="A61" s="247">
        <v>45539</v>
      </c>
      <c r="B61" s="291">
        <v>0</v>
      </c>
      <c r="C61" s="291">
        <v>0</v>
      </c>
      <c r="D61" s="246"/>
      <c r="E61" s="312">
        <v>0</v>
      </c>
      <c r="F61" s="313">
        <v>0.00784164</v>
      </c>
      <c r="G61" s="269"/>
      <c r="H61" s="312">
        <v>0</v>
      </c>
      <c r="I61" s="313">
        <v>0.00880135</v>
      </c>
      <c r="J61" s="269"/>
      <c r="K61" s="312">
        <v>0</v>
      </c>
      <c r="L61" s="313">
        <v>0.01068957</v>
      </c>
      <c r="M61" s="269"/>
      <c r="N61" s="312">
        <v>0</v>
      </c>
      <c r="O61" s="313">
        <v>0.01270498</v>
      </c>
      <c r="P61" s="269"/>
      <c r="Q61" s="312">
        <v>0</v>
      </c>
      <c r="R61" s="313">
        <v>0.01210374</v>
      </c>
    </row>
    <row r="62" spans="1:18" ht="15">
      <c r="A62" s="247">
        <v>45569</v>
      </c>
      <c r="B62" s="291">
        <v>0</v>
      </c>
      <c r="C62" s="291">
        <v>0</v>
      </c>
      <c r="D62" s="246"/>
      <c r="E62" s="310">
        <v>0</v>
      </c>
      <c r="F62" s="311">
        <v>0.00777472</v>
      </c>
      <c r="G62" s="267"/>
      <c r="H62" s="310">
        <v>0</v>
      </c>
      <c r="I62" s="311">
        <v>0.00868264</v>
      </c>
      <c r="J62" s="267"/>
      <c r="K62" s="310">
        <v>0</v>
      </c>
      <c r="L62" s="311">
        <v>0.01139069</v>
      </c>
      <c r="M62" s="267"/>
      <c r="N62" s="310">
        <v>0</v>
      </c>
      <c r="O62" s="311">
        <v>0.01211206</v>
      </c>
      <c r="P62" s="267"/>
      <c r="Q62" s="310">
        <v>0</v>
      </c>
      <c r="R62" s="311">
        <v>0.01158874</v>
      </c>
    </row>
    <row r="63" spans="1:18" ht="15">
      <c r="A63" s="247">
        <v>45600</v>
      </c>
      <c r="B63" s="291">
        <v>0</v>
      </c>
      <c r="C63" s="291">
        <v>0</v>
      </c>
      <c r="D63" s="246"/>
      <c r="E63" s="315">
        <v>0</v>
      </c>
      <c r="F63" s="316">
        <v>0.00769915</v>
      </c>
      <c r="G63" s="273"/>
      <c r="H63" s="315">
        <v>0</v>
      </c>
      <c r="I63" s="316">
        <v>0.009679</v>
      </c>
      <c r="J63" s="273"/>
      <c r="K63" s="315">
        <v>0</v>
      </c>
      <c r="L63" s="316">
        <v>0.01148516</v>
      </c>
      <c r="M63" s="273"/>
      <c r="N63" s="315">
        <v>0</v>
      </c>
      <c r="O63" s="316">
        <v>0.01211139</v>
      </c>
      <c r="P63" s="273"/>
      <c r="Q63" s="315">
        <v>0</v>
      </c>
      <c r="R63" s="316">
        <v>0.01166231</v>
      </c>
    </row>
    <row r="64" spans="1:18" ht="15">
      <c r="A64" s="247">
        <v>45630</v>
      </c>
      <c r="B64" s="291">
        <v>0</v>
      </c>
      <c r="C64" s="291">
        <v>0</v>
      </c>
      <c r="D64" s="246"/>
      <c r="E64" s="315">
        <v>0</v>
      </c>
      <c r="F64" s="316">
        <v>0.00763262</v>
      </c>
      <c r="G64" s="273"/>
      <c r="H64" s="315">
        <v>0</v>
      </c>
      <c r="I64" s="316">
        <v>0.01067372</v>
      </c>
      <c r="J64" s="273"/>
      <c r="K64" s="315">
        <v>0</v>
      </c>
      <c r="L64" s="316">
        <v>0.01128811</v>
      </c>
      <c r="M64" s="273"/>
      <c r="N64" s="315">
        <v>0</v>
      </c>
      <c r="O64" s="316">
        <v>0.01182202</v>
      </c>
      <c r="P64" s="273"/>
      <c r="Q64" s="315">
        <v>0</v>
      </c>
      <c r="R64" s="316">
        <v>0.01144486</v>
      </c>
    </row>
    <row r="65" spans="1:18" ht="15">
      <c r="A65" s="247">
        <v>45661</v>
      </c>
      <c r="B65" s="291">
        <v>0</v>
      </c>
      <c r="C65" s="291">
        <v>0</v>
      </c>
      <c r="D65" s="246"/>
      <c r="E65" s="315">
        <v>0</v>
      </c>
      <c r="F65" s="316">
        <v>0.00847415</v>
      </c>
      <c r="G65" s="273"/>
      <c r="H65" s="315">
        <v>0</v>
      </c>
      <c r="I65" s="316">
        <v>0.01051473</v>
      </c>
      <c r="J65" s="273"/>
      <c r="K65" s="315">
        <v>0</v>
      </c>
      <c r="L65" s="316">
        <v>0.01107101</v>
      </c>
      <c r="M65" s="273"/>
      <c r="N65" s="315">
        <v>0</v>
      </c>
      <c r="O65" s="316">
        <v>0.01151748</v>
      </c>
      <c r="P65" s="273"/>
      <c r="Q65" s="315">
        <v>0</v>
      </c>
      <c r="R65" s="316">
        <v>0.01120834</v>
      </c>
    </row>
    <row r="66" spans="1:18" ht="15">
      <c r="A66" s="247">
        <v>45692</v>
      </c>
      <c r="B66" s="291">
        <v>0</v>
      </c>
      <c r="C66" s="291">
        <v>0</v>
      </c>
      <c r="D66" s="246"/>
      <c r="E66" s="315">
        <v>0</v>
      </c>
      <c r="F66" s="316">
        <v>0.00966442</v>
      </c>
      <c r="G66" s="273"/>
      <c r="H66" s="315">
        <v>0</v>
      </c>
      <c r="I66" s="316">
        <v>0.01038961</v>
      </c>
      <c r="J66" s="273"/>
      <c r="K66" s="315">
        <v>0</v>
      </c>
      <c r="L66" s="316">
        <v>0.01088862</v>
      </c>
      <c r="M66" s="273"/>
      <c r="N66" s="315">
        <v>0</v>
      </c>
      <c r="O66" s="316">
        <v>0.01125004</v>
      </c>
      <c r="P66" s="273"/>
      <c r="Q66" s="315">
        <v>0</v>
      </c>
      <c r="R66" s="316">
        <v>0.01100694</v>
      </c>
    </row>
    <row r="67" spans="1:18" ht="15">
      <c r="A67" s="247">
        <v>45720</v>
      </c>
      <c r="B67" s="291">
        <v>0</v>
      </c>
      <c r="C67" s="291">
        <v>0</v>
      </c>
      <c r="D67" s="246"/>
      <c r="E67" s="315">
        <v>0</v>
      </c>
      <c r="F67" s="316">
        <v>0.00960487</v>
      </c>
      <c r="G67" s="273"/>
      <c r="H67" s="315">
        <v>0</v>
      </c>
      <c r="I67" s="316">
        <v>0.01027386</v>
      </c>
      <c r="J67" s="273"/>
      <c r="K67" s="315">
        <v>0</v>
      </c>
      <c r="L67" s="316">
        <v>0.01071582</v>
      </c>
      <c r="M67" s="273"/>
      <c r="N67" s="315">
        <v>0</v>
      </c>
      <c r="O67" s="316">
        <v>0.01099361</v>
      </c>
      <c r="P67" s="273"/>
      <c r="Q67" s="315">
        <v>0</v>
      </c>
      <c r="R67" s="316">
        <v>0.01081533</v>
      </c>
    </row>
    <row r="68" spans="1:18" ht="15">
      <c r="A68" s="247">
        <v>45751</v>
      </c>
      <c r="B68" s="291">
        <v>0</v>
      </c>
      <c r="C68" s="291">
        <v>0</v>
      </c>
      <c r="D68" s="246"/>
      <c r="E68" s="315">
        <v>0</v>
      </c>
      <c r="F68" s="316">
        <v>0.00953316</v>
      </c>
      <c r="G68" s="273"/>
      <c r="H68" s="315">
        <v>0</v>
      </c>
      <c r="I68" s="316">
        <v>0.01014817</v>
      </c>
      <c r="J68" s="273"/>
      <c r="K68" s="315">
        <v>0</v>
      </c>
      <c r="L68" s="316">
        <v>0.0105357</v>
      </c>
      <c r="M68" s="273"/>
      <c r="N68" s="315">
        <v>0</v>
      </c>
      <c r="O68" s="316">
        <v>0.01073463</v>
      </c>
      <c r="P68" s="273"/>
      <c r="Q68" s="315">
        <v>0</v>
      </c>
      <c r="R68" s="316">
        <v>0.01061737</v>
      </c>
    </row>
    <row r="69" spans="1:18" ht="15">
      <c r="A69" s="247">
        <v>45781</v>
      </c>
      <c r="B69" s="291">
        <v>0</v>
      </c>
      <c r="C69" s="291">
        <v>0</v>
      </c>
      <c r="D69" s="246"/>
      <c r="E69" s="315">
        <v>0</v>
      </c>
      <c r="F69" s="316">
        <v>0.00946748</v>
      </c>
      <c r="G69" s="273"/>
      <c r="H69" s="315">
        <v>0</v>
      </c>
      <c r="I69" s="316">
        <v>0.01002853</v>
      </c>
      <c r="J69" s="273"/>
      <c r="K69" s="315">
        <v>0</v>
      </c>
      <c r="L69" s="316">
        <v>0.01036223</v>
      </c>
      <c r="M69" s="273"/>
      <c r="N69" s="315">
        <v>0</v>
      </c>
      <c r="O69" s="316">
        <v>0.01048419</v>
      </c>
      <c r="P69" s="273"/>
      <c r="Q69" s="315">
        <v>0</v>
      </c>
      <c r="R69" s="316">
        <v>0.01042638</v>
      </c>
    </row>
    <row r="70" spans="1:18" ht="15">
      <c r="A70" s="247">
        <v>45812</v>
      </c>
      <c r="B70" s="291">
        <v>0</v>
      </c>
      <c r="C70" s="291">
        <v>0</v>
      </c>
      <c r="D70" s="246"/>
      <c r="E70" s="315">
        <v>0</v>
      </c>
      <c r="F70" s="316">
        <v>0.00937432</v>
      </c>
      <c r="G70" s="273"/>
      <c r="H70" s="315">
        <v>0</v>
      </c>
      <c r="I70" s="316">
        <v>0.00988456</v>
      </c>
      <c r="J70" s="273"/>
      <c r="K70" s="315">
        <v>0</v>
      </c>
      <c r="L70" s="316">
        <v>0.0101679</v>
      </c>
      <c r="M70" s="273"/>
      <c r="N70" s="315">
        <v>0</v>
      </c>
      <c r="O70" s="316">
        <v>0.01021864</v>
      </c>
      <c r="P70" s="273"/>
      <c r="Q70" s="315">
        <v>0</v>
      </c>
      <c r="R70" s="316">
        <v>0.01021576</v>
      </c>
    </row>
    <row r="71" spans="1:18" ht="15">
      <c r="A71" s="247">
        <v>45842</v>
      </c>
      <c r="B71" s="291">
        <v>0</v>
      </c>
      <c r="C71" s="291">
        <v>0</v>
      </c>
      <c r="D71" s="246"/>
      <c r="E71" s="315">
        <v>0</v>
      </c>
      <c r="F71" s="316">
        <v>0.00930246</v>
      </c>
      <c r="G71" s="273"/>
      <c r="H71" s="315">
        <v>0</v>
      </c>
      <c r="I71" s="316">
        <v>0.00976262</v>
      </c>
      <c r="J71" s="273"/>
      <c r="K71" s="315">
        <v>0</v>
      </c>
      <c r="L71" s="316">
        <v>0.00999679</v>
      </c>
      <c r="M71" s="273"/>
      <c r="N71" s="315">
        <v>0</v>
      </c>
      <c r="O71" s="316">
        <v>0.0099789</v>
      </c>
      <c r="P71" s="274"/>
      <c r="Q71" s="315">
        <v>0</v>
      </c>
      <c r="R71" s="316">
        <v>0.01002884</v>
      </c>
    </row>
    <row r="72" spans="1:18" ht="15">
      <c r="A72" s="247">
        <v>45873</v>
      </c>
      <c r="B72" s="291">
        <v>0</v>
      </c>
      <c r="C72" s="291">
        <v>0</v>
      </c>
      <c r="D72" s="246"/>
      <c r="E72" s="315">
        <v>0</v>
      </c>
      <c r="F72" s="316">
        <v>0.00919877</v>
      </c>
      <c r="G72" s="273"/>
      <c r="H72" s="315">
        <v>0</v>
      </c>
      <c r="I72" s="316">
        <v>0.00961204</v>
      </c>
      <c r="J72" s="273"/>
      <c r="K72" s="315">
        <v>0</v>
      </c>
      <c r="L72" s="316">
        <v>0.00980048</v>
      </c>
      <c r="M72" s="273"/>
      <c r="N72" s="315">
        <v>0</v>
      </c>
      <c r="O72" s="316">
        <v>0.00971949</v>
      </c>
      <c r="P72" s="273"/>
      <c r="Q72" s="315">
        <v>0</v>
      </c>
      <c r="R72" s="316">
        <v>0.0098179</v>
      </c>
    </row>
    <row r="73" spans="1:18" ht="15">
      <c r="A73" s="247">
        <v>45904</v>
      </c>
      <c r="B73" s="291">
        <v>0</v>
      </c>
      <c r="C73" s="291">
        <v>0</v>
      </c>
      <c r="D73" s="246"/>
      <c r="E73" s="315">
        <v>0</v>
      </c>
      <c r="F73" s="316">
        <v>0.00910777</v>
      </c>
      <c r="G73" s="273"/>
      <c r="H73" s="315">
        <v>0</v>
      </c>
      <c r="I73" s="316">
        <v>0.00947348</v>
      </c>
      <c r="J73" s="273"/>
      <c r="K73" s="315">
        <v>0</v>
      </c>
      <c r="L73" s="316">
        <v>0.00961606</v>
      </c>
      <c r="M73" s="274"/>
      <c r="N73" s="315">
        <v>0</v>
      </c>
      <c r="O73" s="316">
        <v>0.0094727</v>
      </c>
      <c r="P73" s="273"/>
      <c r="Q73" s="315">
        <v>0</v>
      </c>
      <c r="R73" s="316">
        <v>0.00961893</v>
      </c>
    </row>
    <row r="74" spans="1:18" ht="15">
      <c r="A74" s="247">
        <v>45934</v>
      </c>
      <c r="B74" s="291">
        <v>0</v>
      </c>
      <c r="C74" s="291">
        <v>0</v>
      </c>
      <c r="D74" s="246"/>
      <c r="E74" s="315">
        <v>0</v>
      </c>
      <c r="F74" s="316">
        <v>0.00871944</v>
      </c>
      <c r="G74" s="274"/>
      <c r="H74" s="315">
        <v>0</v>
      </c>
      <c r="I74" s="316">
        <v>0.00903775</v>
      </c>
      <c r="J74" s="274"/>
      <c r="K74" s="315">
        <v>0</v>
      </c>
      <c r="L74" s="316">
        <v>0.0091351</v>
      </c>
      <c r="M74" s="274"/>
      <c r="N74" s="315">
        <v>0</v>
      </c>
      <c r="O74" s="316">
        <v>0.00893107</v>
      </c>
      <c r="P74" s="274"/>
      <c r="Q74" s="315">
        <v>0</v>
      </c>
      <c r="R74" s="316">
        <v>0.00912372</v>
      </c>
    </row>
    <row r="75" spans="1:18" ht="15">
      <c r="A75" s="247">
        <v>45965</v>
      </c>
      <c r="B75" s="291">
        <v>0</v>
      </c>
      <c r="C75" s="291">
        <v>0</v>
      </c>
      <c r="D75" s="246"/>
      <c r="E75" s="315">
        <v>0</v>
      </c>
      <c r="F75" s="316">
        <v>0.00892453</v>
      </c>
      <c r="G75" s="274"/>
      <c r="H75" s="315">
        <v>0</v>
      </c>
      <c r="I75" s="316">
        <v>0.00919912</v>
      </c>
      <c r="J75" s="274"/>
      <c r="K75" s="315">
        <v>0</v>
      </c>
      <c r="L75" s="316">
        <v>0.00925504</v>
      </c>
      <c r="M75" s="273"/>
      <c r="N75" s="315">
        <v>0</v>
      </c>
      <c r="O75" s="316">
        <v>0.0089962</v>
      </c>
      <c r="P75" s="273"/>
      <c r="Q75" s="315">
        <v>0</v>
      </c>
      <c r="R75" s="316">
        <v>0.00923069</v>
      </c>
    </row>
    <row r="76" spans="1:18" ht="15">
      <c r="A76" s="247">
        <v>45995</v>
      </c>
      <c r="B76" s="291">
        <v>0</v>
      </c>
      <c r="C76" s="291">
        <v>0</v>
      </c>
      <c r="D76" s="246"/>
      <c r="E76" s="315">
        <v>0</v>
      </c>
      <c r="F76" s="316">
        <v>0.0088251</v>
      </c>
      <c r="G76" s="273"/>
      <c r="H76" s="315">
        <v>0</v>
      </c>
      <c r="I76" s="316">
        <v>0.00905751</v>
      </c>
      <c r="J76" s="273"/>
      <c r="K76" s="315">
        <v>0</v>
      </c>
      <c r="L76" s="316">
        <v>0.00907384</v>
      </c>
      <c r="M76" s="273"/>
      <c r="N76" s="315">
        <v>0</v>
      </c>
      <c r="O76" s="316">
        <v>0.00876337</v>
      </c>
      <c r="P76" s="273"/>
      <c r="Q76" s="315">
        <v>0</v>
      </c>
      <c r="R76" s="316">
        <v>0.00903719</v>
      </c>
    </row>
    <row r="77" spans="1:18" ht="15">
      <c r="A77" s="247">
        <v>46026</v>
      </c>
      <c r="B77" s="291">
        <v>0</v>
      </c>
      <c r="C77" s="291">
        <v>0</v>
      </c>
      <c r="D77" s="246"/>
      <c r="E77" s="315">
        <v>0</v>
      </c>
      <c r="F77" s="316">
        <v>0.00872814</v>
      </c>
      <c r="G77" s="273"/>
      <c r="H77" s="315">
        <v>0</v>
      </c>
      <c r="I77" s="316">
        <v>0.00891883</v>
      </c>
      <c r="J77" s="273"/>
      <c r="K77" s="315">
        <v>0</v>
      </c>
      <c r="L77" s="316">
        <v>0.0088964</v>
      </c>
      <c r="M77" s="273"/>
      <c r="N77" s="315">
        <v>0</v>
      </c>
      <c r="O77" s="316">
        <v>0.00853613</v>
      </c>
      <c r="P77" s="273"/>
      <c r="Q77" s="315">
        <v>0</v>
      </c>
      <c r="R77" s="316">
        <v>0.00884779</v>
      </c>
    </row>
    <row r="78" spans="1:18" ht="15">
      <c r="A78" s="247">
        <v>46057</v>
      </c>
      <c r="B78" s="291">
        <v>0</v>
      </c>
      <c r="C78" s="291">
        <v>0</v>
      </c>
      <c r="D78" s="246"/>
      <c r="E78" s="315">
        <v>0</v>
      </c>
      <c r="F78" s="316">
        <v>0.0086293</v>
      </c>
      <c r="G78" s="273"/>
      <c r="H78" s="315">
        <v>0</v>
      </c>
      <c r="I78" s="316">
        <v>0.00877898</v>
      </c>
      <c r="J78" s="273"/>
      <c r="K78" s="315">
        <v>0</v>
      </c>
      <c r="L78" s="316">
        <v>0.00871884</v>
      </c>
      <c r="M78" s="273"/>
      <c r="N78" s="315">
        <v>0</v>
      </c>
      <c r="O78" s="316">
        <v>0.00831085</v>
      </c>
      <c r="P78" s="273"/>
      <c r="Q78" s="315">
        <v>0</v>
      </c>
      <c r="R78" s="316">
        <v>0.00865869</v>
      </c>
    </row>
    <row r="79" spans="1:18" ht="15">
      <c r="A79" s="247">
        <v>46085</v>
      </c>
      <c r="B79" s="291">
        <v>0</v>
      </c>
      <c r="C79" s="291">
        <v>0</v>
      </c>
      <c r="D79" s="246"/>
      <c r="E79" s="315">
        <v>0</v>
      </c>
      <c r="F79" s="316">
        <v>0.00855166</v>
      </c>
      <c r="G79" s="273"/>
      <c r="H79" s="315">
        <v>0</v>
      </c>
      <c r="I79" s="316">
        <v>0.00865932</v>
      </c>
      <c r="J79" s="273"/>
      <c r="K79" s="315">
        <v>0</v>
      </c>
      <c r="L79" s="316">
        <v>0.00856096</v>
      </c>
      <c r="M79" s="273"/>
      <c r="N79" s="315">
        <v>0</v>
      </c>
      <c r="O79" s="316">
        <v>0.00810529</v>
      </c>
      <c r="P79" s="273"/>
      <c r="Q79" s="315">
        <v>0</v>
      </c>
      <c r="R79" s="316">
        <v>0.00848921</v>
      </c>
    </row>
    <row r="80" spans="1:18" ht="15">
      <c r="A80" s="247">
        <v>46116</v>
      </c>
      <c r="B80" s="291">
        <v>0</v>
      </c>
      <c r="C80" s="291">
        <v>0</v>
      </c>
      <c r="D80" s="246"/>
      <c r="E80" s="315">
        <v>0</v>
      </c>
      <c r="F80" s="316">
        <v>0.00845693</v>
      </c>
      <c r="G80" s="273"/>
      <c r="H80" s="315">
        <v>0</v>
      </c>
      <c r="I80" s="316">
        <v>0.00852558</v>
      </c>
      <c r="J80" s="273"/>
      <c r="K80" s="315">
        <v>0</v>
      </c>
      <c r="L80" s="316">
        <v>0.0083921</v>
      </c>
      <c r="M80" s="273"/>
      <c r="N80" s="315">
        <v>0</v>
      </c>
      <c r="O80" s="316">
        <v>0.00789339</v>
      </c>
      <c r="P80" s="273"/>
      <c r="Q80" s="315">
        <v>0</v>
      </c>
      <c r="R80" s="316">
        <v>0.00830977</v>
      </c>
    </row>
    <row r="81" spans="1:18" ht="15">
      <c r="A81" s="247">
        <v>46146</v>
      </c>
      <c r="B81" s="291">
        <v>0</v>
      </c>
      <c r="C81" s="291">
        <v>0</v>
      </c>
      <c r="D81" s="246"/>
      <c r="E81" s="315">
        <v>0</v>
      </c>
      <c r="F81" s="316">
        <v>0.00837228</v>
      </c>
      <c r="G81" s="273"/>
      <c r="H81" s="315">
        <v>0</v>
      </c>
      <c r="I81" s="316">
        <v>0.00840124</v>
      </c>
      <c r="J81" s="273"/>
      <c r="K81" s="315">
        <v>0</v>
      </c>
      <c r="L81" s="316">
        <v>0.00823243</v>
      </c>
      <c r="M81" s="273"/>
      <c r="N81" s="315">
        <v>0</v>
      </c>
      <c r="O81" s="316">
        <v>0.00769104</v>
      </c>
      <c r="P81" s="273"/>
      <c r="Q81" s="315">
        <v>0</v>
      </c>
      <c r="R81" s="316">
        <v>0.00813954</v>
      </c>
    </row>
    <row r="82" spans="1:18" ht="15">
      <c r="A82" s="247">
        <v>46177</v>
      </c>
      <c r="B82" s="291">
        <v>0</v>
      </c>
      <c r="C82" s="291">
        <v>0</v>
      </c>
      <c r="D82" s="246"/>
      <c r="E82" s="315">
        <v>0</v>
      </c>
      <c r="F82" s="316">
        <v>0.00828437</v>
      </c>
      <c r="G82" s="273"/>
      <c r="H82" s="315">
        <v>0</v>
      </c>
      <c r="I82" s="316">
        <v>0.00827528</v>
      </c>
      <c r="J82" s="273"/>
      <c r="K82" s="315">
        <v>0</v>
      </c>
      <c r="L82" s="316">
        <v>0.00807295</v>
      </c>
      <c r="M82" s="273"/>
      <c r="N82" s="315">
        <v>0</v>
      </c>
      <c r="O82" s="316">
        <v>0.00749181</v>
      </c>
      <c r="P82" s="273"/>
      <c r="Q82" s="315">
        <v>0</v>
      </c>
      <c r="R82" s="316">
        <v>0.00797013</v>
      </c>
    </row>
    <row r="83" spans="1:18" ht="15">
      <c r="A83" s="247">
        <v>46207</v>
      </c>
      <c r="B83" s="291">
        <v>0</v>
      </c>
      <c r="C83" s="291">
        <v>0</v>
      </c>
      <c r="D83" s="246"/>
      <c r="E83" s="315">
        <v>0</v>
      </c>
      <c r="F83" s="316">
        <v>0.00817981</v>
      </c>
      <c r="G83" s="273"/>
      <c r="H83" s="315">
        <v>0</v>
      </c>
      <c r="I83" s="316">
        <v>0.00813648</v>
      </c>
      <c r="J83" s="273"/>
      <c r="K83" s="315">
        <v>0</v>
      </c>
      <c r="L83" s="316">
        <v>0.00790434</v>
      </c>
      <c r="M83" s="273"/>
      <c r="N83" s="315">
        <v>0</v>
      </c>
      <c r="O83" s="316">
        <v>0.00728873</v>
      </c>
      <c r="P83" s="273"/>
      <c r="Q83" s="315">
        <v>0</v>
      </c>
      <c r="R83" s="316">
        <v>0.00779279</v>
      </c>
    </row>
    <row r="84" spans="1:18" ht="15">
      <c r="A84" s="247">
        <v>46238</v>
      </c>
      <c r="B84" s="291">
        <v>0</v>
      </c>
      <c r="C84" s="291">
        <v>0</v>
      </c>
      <c r="D84" s="246"/>
      <c r="E84" s="315">
        <v>0</v>
      </c>
      <c r="F84" s="316">
        <v>0.0080675</v>
      </c>
      <c r="G84" s="273"/>
      <c r="H84" s="315">
        <v>0</v>
      </c>
      <c r="I84" s="316">
        <v>0.00799254</v>
      </c>
      <c r="J84" s="273"/>
      <c r="K84" s="315">
        <v>0</v>
      </c>
      <c r="L84" s="316">
        <v>0.00773321</v>
      </c>
      <c r="M84" s="273"/>
      <c r="N84" s="315">
        <v>0</v>
      </c>
      <c r="O84" s="316">
        <v>0.00708694</v>
      </c>
      <c r="P84" s="273"/>
      <c r="Q84" s="315">
        <v>0</v>
      </c>
      <c r="R84" s="316">
        <v>0.0076138</v>
      </c>
    </row>
    <row r="85" spans="1:18" ht="15">
      <c r="A85" s="247">
        <v>46269</v>
      </c>
      <c r="B85" s="291">
        <v>0</v>
      </c>
      <c r="C85" s="291">
        <v>0</v>
      </c>
      <c r="D85" s="246"/>
      <c r="E85" s="315">
        <v>0</v>
      </c>
      <c r="F85" s="316">
        <v>0.00795071</v>
      </c>
      <c r="G85" s="273"/>
      <c r="H85" s="315">
        <v>0</v>
      </c>
      <c r="I85" s="316">
        <v>0.00784574</v>
      </c>
      <c r="J85" s="273"/>
      <c r="K85" s="315">
        <v>0</v>
      </c>
      <c r="L85" s="316">
        <v>0.00756091</v>
      </c>
      <c r="M85" s="273"/>
      <c r="N85" s="315">
        <v>0</v>
      </c>
      <c r="O85" s="316">
        <v>0.00688655</v>
      </c>
      <c r="P85" s="274"/>
      <c r="Q85" s="315">
        <v>0</v>
      </c>
      <c r="R85" s="316">
        <v>0.00743419</v>
      </c>
    </row>
    <row r="86" spans="1:18" ht="15">
      <c r="A86" s="247">
        <v>46299</v>
      </c>
      <c r="B86" s="291">
        <v>0</v>
      </c>
      <c r="C86" s="291">
        <v>0</v>
      </c>
      <c r="D86" s="246"/>
      <c r="E86" s="315">
        <v>0</v>
      </c>
      <c r="F86" s="316">
        <v>0.00752608</v>
      </c>
      <c r="G86" s="273"/>
      <c r="H86" s="315">
        <v>0</v>
      </c>
      <c r="I86" s="316">
        <v>0.00738928</v>
      </c>
      <c r="J86" s="273"/>
      <c r="K86" s="315">
        <v>0</v>
      </c>
      <c r="L86" s="316">
        <v>0.00707767</v>
      </c>
      <c r="M86" s="273"/>
      <c r="N86" s="315">
        <v>0</v>
      </c>
      <c r="O86" s="316">
        <v>0.00637404</v>
      </c>
      <c r="P86" s="273"/>
      <c r="Q86" s="315">
        <v>0</v>
      </c>
      <c r="R86" s="316">
        <v>0.00694332</v>
      </c>
    </row>
    <row r="87" spans="1:18" ht="15">
      <c r="A87" s="247">
        <v>46330</v>
      </c>
      <c r="B87" s="291">
        <v>0</v>
      </c>
      <c r="C87" s="291">
        <v>0</v>
      </c>
      <c r="D87" s="246"/>
      <c r="E87" s="315">
        <v>0</v>
      </c>
      <c r="F87" s="316">
        <v>0.00775079</v>
      </c>
      <c r="G87" s="273"/>
      <c r="H87" s="315">
        <v>0</v>
      </c>
      <c r="I87" s="316">
        <v>0.00758414</v>
      </c>
      <c r="J87" s="273"/>
      <c r="K87" s="315">
        <v>0</v>
      </c>
      <c r="L87" s="316">
        <v>0.00724774</v>
      </c>
      <c r="M87" s="273"/>
      <c r="N87" s="315">
        <v>0</v>
      </c>
      <c r="O87" s="316">
        <v>0.00651776</v>
      </c>
      <c r="P87" s="273"/>
      <c r="Q87" s="315">
        <v>0</v>
      </c>
      <c r="R87" s="316">
        <v>0.00710642</v>
      </c>
    </row>
    <row r="88" spans="1:18" ht="15">
      <c r="A88" s="247">
        <v>46360</v>
      </c>
      <c r="B88" s="291">
        <v>0</v>
      </c>
      <c r="C88" s="291">
        <v>0</v>
      </c>
      <c r="D88" s="246"/>
      <c r="E88" s="315">
        <v>0</v>
      </c>
      <c r="F88" s="316">
        <v>0.00766339</v>
      </c>
      <c r="G88" s="273"/>
      <c r="H88" s="315">
        <v>0</v>
      </c>
      <c r="I88" s="316">
        <v>0.00746562</v>
      </c>
      <c r="J88" s="273"/>
      <c r="K88" s="315">
        <v>0</v>
      </c>
      <c r="L88" s="316">
        <v>0.00710361</v>
      </c>
      <c r="M88" s="273"/>
      <c r="N88" s="315">
        <v>0</v>
      </c>
      <c r="O88" s="316">
        <v>0.00634538</v>
      </c>
      <c r="P88" s="273"/>
      <c r="Q88" s="315">
        <v>0</v>
      </c>
      <c r="R88" s="316">
        <v>0.00695514</v>
      </c>
    </row>
    <row r="89" spans="1:18" ht="15">
      <c r="A89" s="247">
        <v>46391</v>
      </c>
      <c r="B89" s="291">
        <v>0</v>
      </c>
      <c r="C89" s="291">
        <v>0</v>
      </c>
      <c r="D89" s="246"/>
      <c r="E89" s="315">
        <v>0</v>
      </c>
      <c r="F89" s="316">
        <v>0.0075585</v>
      </c>
      <c r="G89" s="273"/>
      <c r="H89" s="315">
        <v>0</v>
      </c>
      <c r="I89" s="316">
        <v>0.00733373</v>
      </c>
      <c r="J89" s="273"/>
      <c r="K89" s="315">
        <v>0</v>
      </c>
      <c r="L89" s="316">
        <v>0.00694995</v>
      </c>
      <c r="M89" s="273"/>
      <c r="N89" s="315">
        <v>0</v>
      </c>
      <c r="O89" s="316">
        <v>0.00616819</v>
      </c>
      <c r="P89" s="273"/>
      <c r="Q89" s="315">
        <v>0</v>
      </c>
      <c r="R89" s="316">
        <v>0.00679551</v>
      </c>
    </row>
    <row r="90" spans="1:18" ht="15">
      <c r="A90" s="247">
        <v>46422</v>
      </c>
      <c r="B90" s="291">
        <v>0</v>
      </c>
      <c r="C90" s="291">
        <v>0</v>
      </c>
      <c r="D90" s="246"/>
      <c r="E90" s="315">
        <v>0</v>
      </c>
      <c r="F90" s="316">
        <v>0.00743374</v>
      </c>
      <c r="G90" s="273"/>
      <c r="H90" s="315">
        <v>0</v>
      </c>
      <c r="I90" s="316">
        <v>0.0071867</v>
      </c>
      <c r="J90" s="273"/>
      <c r="K90" s="315">
        <v>0</v>
      </c>
      <c r="L90" s="316">
        <v>0.00678541</v>
      </c>
      <c r="M90" s="273"/>
      <c r="N90" s="315">
        <v>0</v>
      </c>
      <c r="O90" s="316">
        <v>0.00598572</v>
      </c>
      <c r="P90" s="273"/>
      <c r="Q90" s="315">
        <v>0</v>
      </c>
      <c r="R90" s="316">
        <v>0.00662633</v>
      </c>
    </row>
    <row r="91" spans="1:18" ht="15">
      <c r="A91" s="247">
        <v>46450</v>
      </c>
      <c r="B91" s="291">
        <v>0</v>
      </c>
      <c r="C91" s="291">
        <v>0</v>
      </c>
      <c r="D91" s="246"/>
      <c r="E91" s="315">
        <v>0</v>
      </c>
      <c r="F91" s="316">
        <v>0.00733827</v>
      </c>
      <c r="G91" s="274"/>
      <c r="H91" s="315">
        <v>0</v>
      </c>
      <c r="I91" s="316">
        <v>0.00706485</v>
      </c>
      <c r="J91" s="273"/>
      <c r="K91" s="315">
        <v>0</v>
      </c>
      <c r="L91" s="316">
        <v>0.00664278</v>
      </c>
      <c r="M91" s="273"/>
      <c r="N91" s="315">
        <v>0</v>
      </c>
      <c r="O91" s="316">
        <v>0.00582147</v>
      </c>
      <c r="P91" s="273"/>
      <c r="Q91" s="315">
        <v>0</v>
      </c>
      <c r="R91" s="316">
        <v>0.00647811</v>
      </c>
    </row>
    <row r="92" spans="1:18" ht="15">
      <c r="A92" s="247">
        <v>46481</v>
      </c>
      <c r="B92" s="291">
        <v>0</v>
      </c>
      <c r="C92" s="291">
        <v>0.00658679</v>
      </c>
      <c r="D92" s="246"/>
      <c r="E92" s="315">
        <v>0</v>
      </c>
      <c r="F92" s="316">
        <v>0.00722312</v>
      </c>
      <c r="G92" s="274"/>
      <c r="H92" s="315">
        <v>0</v>
      </c>
      <c r="I92" s="316">
        <v>0.00692807</v>
      </c>
      <c r="J92" s="273"/>
      <c r="K92" s="315">
        <v>0</v>
      </c>
      <c r="L92" s="316">
        <v>0.00648947</v>
      </c>
      <c r="M92" s="273"/>
      <c r="N92" s="315">
        <v>0</v>
      </c>
      <c r="O92" s="316">
        <v>0.00565204</v>
      </c>
      <c r="P92" s="273"/>
      <c r="Q92" s="315">
        <v>0</v>
      </c>
      <c r="R92" s="316">
        <v>0.00632053</v>
      </c>
    </row>
    <row r="93" spans="1:18" ht="15">
      <c r="A93" s="247">
        <v>46511</v>
      </c>
      <c r="B93" s="291">
        <v>0</v>
      </c>
      <c r="C93" s="291">
        <v>0.00930549</v>
      </c>
      <c r="D93" s="246"/>
      <c r="E93" s="315">
        <v>0</v>
      </c>
      <c r="F93" s="316">
        <v>0.00713047</v>
      </c>
      <c r="G93" s="273"/>
      <c r="H93" s="315">
        <v>0</v>
      </c>
      <c r="I93" s="316">
        <v>0.00681076</v>
      </c>
      <c r="J93" s="273"/>
      <c r="K93" s="315">
        <v>0</v>
      </c>
      <c r="L93" s="316">
        <v>0.00635325</v>
      </c>
      <c r="M93" s="273"/>
      <c r="N93" s="315">
        <v>0</v>
      </c>
      <c r="O93" s="316">
        <v>0.00549712</v>
      </c>
      <c r="P93" s="274"/>
      <c r="Q93" s="315">
        <v>0</v>
      </c>
      <c r="R93" s="316">
        <v>0.00617936</v>
      </c>
    </row>
    <row r="94" spans="1:18" ht="15">
      <c r="A94" s="247">
        <v>46542</v>
      </c>
      <c r="B94" s="291">
        <v>0</v>
      </c>
      <c r="C94" s="291">
        <v>0.00921717</v>
      </c>
      <c r="D94" s="246"/>
      <c r="E94" s="315">
        <v>0</v>
      </c>
      <c r="F94" s="316">
        <v>0.00704123</v>
      </c>
      <c r="G94" s="273"/>
      <c r="H94" s="315">
        <v>0</v>
      </c>
      <c r="I94" s="316">
        <v>0.00669714</v>
      </c>
      <c r="J94" s="273"/>
      <c r="K94" s="315">
        <v>0</v>
      </c>
      <c r="L94" s="316">
        <v>0.00622118</v>
      </c>
      <c r="M94" s="273"/>
      <c r="N94" s="315">
        <v>0</v>
      </c>
      <c r="O94" s="316">
        <v>0.00534719</v>
      </c>
      <c r="P94" s="273"/>
      <c r="Q94" s="315">
        <v>0</v>
      </c>
      <c r="R94" s="316">
        <v>0.006042</v>
      </c>
    </row>
    <row r="95" spans="1:18" ht="15">
      <c r="A95" s="247">
        <v>46572</v>
      </c>
      <c r="B95" s="291">
        <v>0</v>
      </c>
      <c r="C95" s="291">
        <v>0.0091784</v>
      </c>
      <c r="D95" s="246"/>
      <c r="E95" s="315">
        <v>0</v>
      </c>
      <c r="F95" s="316">
        <v>0.00693673</v>
      </c>
      <c r="G95" s="273"/>
      <c r="H95" s="315">
        <v>0</v>
      </c>
      <c r="I95" s="316">
        <v>0.00657219</v>
      </c>
      <c r="J95" s="273"/>
      <c r="K95" s="315">
        <v>0</v>
      </c>
      <c r="L95" s="316">
        <v>0.00608128</v>
      </c>
      <c r="M95" s="273"/>
      <c r="N95" s="315">
        <v>0</v>
      </c>
      <c r="O95" s="316">
        <v>0.00519394</v>
      </c>
      <c r="P95" s="273"/>
      <c r="Q95" s="315">
        <v>0</v>
      </c>
      <c r="R95" s="316">
        <v>0.00589679</v>
      </c>
    </row>
    <row r="96" spans="1:18" ht="15">
      <c r="A96" s="247">
        <v>46603</v>
      </c>
      <c r="B96" s="291">
        <v>0</v>
      </c>
      <c r="C96" s="291">
        <v>0.00911371</v>
      </c>
      <c r="D96" s="246"/>
      <c r="E96" s="315">
        <v>0</v>
      </c>
      <c r="F96" s="316">
        <v>0.00683757</v>
      </c>
      <c r="G96" s="273"/>
      <c r="H96" s="315">
        <v>0</v>
      </c>
      <c r="I96" s="316">
        <v>0.00645251</v>
      </c>
      <c r="J96" s="273"/>
      <c r="K96" s="315">
        <v>0</v>
      </c>
      <c r="L96" s="316">
        <v>0.00594633</v>
      </c>
      <c r="M96" s="273"/>
      <c r="N96" s="315">
        <v>0</v>
      </c>
      <c r="O96" s="316">
        <v>0.00504647</v>
      </c>
      <c r="P96" s="273"/>
      <c r="Q96" s="315">
        <v>0</v>
      </c>
      <c r="R96" s="316">
        <v>0.00575707</v>
      </c>
    </row>
    <row r="97" spans="1:18" ht="15">
      <c r="A97" s="247">
        <v>46634</v>
      </c>
      <c r="B97" s="291">
        <v>0</v>
      </c>
      <c r="C97" s="291">
        <v>0.00905508</v>
      </c>
      <c r="D97" s="246"/>
      <c r="E97" s="315">
        <v>0</v>
      </c>
      <c r="F97" s="316">
        <v>0.00673369</v>
      </c>
      <c r="G97" s="273"/>
      <c r="H97" s="315">
        <v>0</v>
      </c>
      <c r="I97" s="316">
        <v>0.00633016</v>
      </c>
      <c r="J97" s="273"/>
      <c r="K97" s="315">
        <v>0</v>
      </c>
      <c r="L97" s="316">
        <v>0.00580946</v>
      </c>
      <c r="M97" s="273"/>
      <c r="N97" s="315">
        <v>0</v>
      </c>
      <c r="O97" s="316">
        <v>0.00490067</v>
      </c>
      <c r="P97" s="273"/>
      <c r="Q97" s="315">
        <v>0</v>
      </c>
      <c r="R97" s="316">
        <v>0.00561718</v>
      </c>
    </row>
    <row r="98" spans="1:18" ht="15">
      <c r="A98" s="247">
        <v>46664</v>
      </c>
      <c r="B98" s="291">
        <v>0</v>
      </c>
      <c r="C98" s="291">
        <v>0.00898656</v>
      </c>
      <c r="D98" s="246"/>
      <c r="E98" s="315">
        <v>0</v>
      </c>
      <c r="F98" s="316">
        <v>0.00630307</v>
      </c>
      <c r="G98" s="274"/>
      <c r="H98" s="315">
        <v>0</v>
      </c>
      <c r="I98" s="316">
        <v>0.00587788</v>
      </c>
      <c r="J98" s="273"/>
      <c r="K98" s="315">
        <v>0</v>
      </c>
      <c r="L98" s="316">
        <v>0.00534019</v>
      </c>
      <c r="M98" s="273"/>
      <c r="N98" s="315">
        <v>0</v>
      </c>
      <c r="O98" s="316">
        <v>0.00441971</v>
      </c>
      <c r="P98" s="273"/>
      <c r="Q98" s="315">
        <v>0</v>
      </c>
      <c r="R98" s="316">
        <v>0.00514419</v>
      </c>
    </row>
    <row r="99" spans="1:18" ht="15">
      <c r="A99" s="247">
        <v>46695</v>
      </c>
      <c r="B99" s="291">
        <v>0</v>
      </c>
      <c r="C99" s="291">
        <v>0.00884177</v>
      </c>
      <c r="D99" s="246"/>
      <c r="E99" s="315">
        <v>0</v>
      </c>
      <c r="F99" s="316">
        <v>0.00655566</v>
      </c>
      <c r="G99" s="273"/>
      <c r="H99" s="315">
        <v>0</v>
      </c>
      <c r="I99" s="316">
        <v>0.00611165</v>
      </c>
      <c r="J99" s="273"/>
      <c r="K99" s="315">
        <v>0</v>
      </c>
      <c r="L99" s="316">
        <v>0.0055596</v>
      </c>
      <c r="M99" s="273"/>
      <c r="N99" s="315">
        <v>0</v>
      </c>
      <c r="O99" s="316">
        <v>0.00463063</v>
      </c>
      <c r="P99" s="274"/>
      <c r="Q99" s="315">
        <v>0</v>
      </c>
      <c r="R99" s="316">
        <v>0.00536065</v>
      </c>
    </row>
    <row r="100" spans="1:18" ht="15">
      <c r="A100" s="247">
        <v>46725</v>
      </c>
      <c r="B100" s="291">
        <v>0</v>
      </c>
      <c r="C100" s="291">
        <v>0.00871899</v>
      </c>
      <c r="D100" s="246"/>
      <c r="E100" s="315">
        <v>0</v>
      </c>
      <c r="F100" s="316">
        <v>0.0064671</v>
      </c>
      <c r="G100" s="273"/>
      <c r="H100" s="315">
        <v>0</v>
      </c>
      <c r="I100" s="316">
        <v>0.00600447</v>
      </c>
      <c r="J100" s="273"/>
      <c r="K100" s="315">
        <v>0</v>
      </c>
      <c r="L100" s="316">
        <v>0.00543833</v>
      </c>
      <c r="M100" s="273"/>
      <c r="N100" s="315">
        <v>0</v>
      </c>
      <c r="O100" s="316">
        <v>0.0045014</v>
      </c>
      <c r="P100" s="274"/>
      <c r="Q100" s="315">
        <v>0</v>
      </c>
      <c r="R100" s="316">
        <v>0.00523655</v>
      </c>
    </row>
    <row r="101" spans="1:18" ht="15">
      <c r="A101" s="247">
        <v>46756</v>
      </c>
      <c r="B101" s="291">
        <v>0</v>
      </c>
      <c r="C101" s="291">
        <v>0.00861458</v>
      </c>
      <c r="D101" s="246"/>
      <c r="E101" s="315">
        <v>0</v>
      </c>
      <c r="F101" s="316">
        <v>0.00637555</v>
      </c>
      <c r="G101" s="273"/>
      <c r="H101" s="315">
        <v>0</v>
      </c>
      <c r="I101" s="316">
        <v>0.00589581</v>
      </c>
      <c r="J101" s="273"/>
      <c r="K101" s="315">
        <v>0</v>
      </c>
      <c r="L101" s="316">
        <v>0.005317</v>
      </c>
      <c r="M101" s="274"/>
      <c r="N101" s="315">
        <v>0</v>
      </c>
      <c r="O101" s="316">
        <v>0.00437389</v>
      </c>
      <c r="P101" s="273"/>
      <c r="Q101" s="315">
        <v>0</v>
      </c>
      <c r="R101" s="316">
        <v>0.00511281</v>
      </c>
    </row>
    <row r="102" spans="1:18" ht="15">
      <c r="A102" s="247">
        <v>46787</v>
      </c>
      <c r="B102" s="291">
        <v>0</v>
      </c>
      <c r="C102" s="291">
        <v>0.00850676</v>
      </c>
      <c r="D102" s="246"/>
      <c r="E102" s="315">
        <v>0</v>
      </c>
      <c r="F102" s="316">
        <v>0.00625502</v>
      </c>
      <c r="G102" s="273"/>
      <c r="H102" s="315">
        <v>0</v>
      </c>
      <c r="I102" s="316">
        <v>0.0057653</v>
      </c>
      <c r="J102" s="274"/>
      <c r="K102" s="315">
        <v>0</v>
      </c>
      <c r="L102" s="316">
        <v>0.0051798</v>
      </c>
      <c r="M102" s="273"/>
      <c r="N102" s="315">
        <v>0</v>
      </c>
      <c r="O102" s="316">
        <v>0.00423756</v>
      </c>
      <c r="P102" s="273"/>
      <c r="Q102" s="315">
        <v>0</v>
      </c>
      <c r="R102" s="316">
        <v>0.00497496</v>
      </c>
    </row>
    <row r="103" spans="1:18" ht="15">
      <c r="A103" s="247">
        <v>46816</v>
      </c>
      <c r="B103" s="291">
        <v>0</v>
      </c>
      <c r="C103" s="291">
        <v>0.00841432</v>
      </c>
      <c r="D103" s="246"/>
      <c r="E103" s="315">
        <v>0</v>
      </c>
      <c r="F103" s="316">
        <v>0.00614463</v>
      </c>
      <c r="G103" s="274"/>
      <c r="H103" s="315">
        <v>0</v>
      </c>
      <c r="I103" s="316">
        <v>0.00564336</v>
      </c>
      <c r="J103" s="275"/>
      <c r="K103" s="315">
        <v>0</v>
      </c>
      <c r="L103" s="316">
        <v>0.00505105</v>
      </c>
      <c r="M103" s="273"/>
      <c r="N103" s="315">
        <v>0</v>
      </c>
      <c r="O103" s="316">
        <v>0.00410885</v>
      </c>
      <c r="P103" s="273"/>
      <c r="Q103" s="315">
        <v>0</v>
      </c>
      <c r="R103" s="316">
        <v>0.00484534</v>
      </c>
    </row>
    <row r="104" spans="1:18" ht="15">
      <c r="A104" s="247">
        <v>46847</v>
      </c>
      <c r="B104" s="291">
        <v>0</v>
      </c>
      <c r="C104" s="291">
        <v>0.00826754</v>
      </c>
      <c r="D104" s="246"/>
      <c r="E104" s="315">
        <v>0</v>
      </c>
      <c r="F104" s="316">
        <v>0.00604272</v>
      </c>
      <c r="G104" s="274"/>
      <c r="H104" s="315">
        <v>0</v>
      </c>
      <c r="I104" s="316">
        <v>0.0055282</v>
      </c>
      <c r="J104" s="273"/>
      <c r="K104" s="315">
        <v>0</v>
      </c>
      <c r="L104" s="316">
        <v>0.00492949</v>
      </c>
      <c r="M104" s="274"/>
      <c r="N104" s="315">
        <v>0</v>
      </c>
      <c r="O104" s="316">
        <v>0.00398677</v>
      </c>
      <c r="P104" s="273"/>
      <c r="Q104" s="315">
        <v>0</v>
      </c>
      <c r="R104" s="316">
        <v>0.00472278</v>
      </c>
    </row>
    <row r="105" spans="1:18" ht="15">
      <c r="A105" s="247">
        <v>46877</v>
      </c>
      <c r="B105" s="291">
        <v>0</v>
      </c>
      <c r="C105" s="291">
        <v>0.00818504</v>
      </c>
      <c r="D105" s="246"/>
      <c r="E105" s="315">
        <v>0</v>
      </c>
      <c r="F105" s="316">
        <v>0.00594111</v>
      </c>
      <c r="G105" s="273"/>
      <c r="H105" s="315">
        <v>0</v>
      </c>
      <c r="I105" s="316">
        <v>0.00541436</v>
      </c>
      <c r="J105" s="273"/>
      <c r="K105" s="315">
        <v>0</v>
      </c>
      <c r="L105" s="316">
        <v>0.00481016</v>
      </c>
      <c r="M105" s="274"/>
      <c r="N105" s="315">
        <v>0</v>
      </c>
      <c r="O105" s="316">
        <v>0.003868</v>
      </c>
      <c r="P105" s="274"/>
      <c r="Q105" s="315">
        <v>0</v>
      </c>
      <c r="R105" s="316">
        <v>0.00460271</v>
      </c>
    </row>
    <row r="106" spans="1:18" ht="15">
      <c r="A106" s="247">
        <v>46908</v>
      </c>
      <c r="B106" s="291">
        <v>0</v>
      </c>
      <c r="C106" s="291">
        <v>0.00808293</v>
      </c>
      <c r="D106" s="246"/>
      <c r="E106" s="315">
        <v>0</v>
      </c>
      <c r="F106" s="316">
        <v>0.00584675</v>
      </c>
      <c r="G106" s="274"/>
      <c r="H106" s="315">
        <v>0</v>
      </c>
      <c r="I106" s="316">
        <v>0.0053072</v>
      </c>
      <c r="J106" s="273"/>
      <c r="K106" s="315">
        <v>0</v>
      </c>
      <c r="L106" s="316">
        <v>0.00469711</v>
      </c>
      <c r="M106" s="273"/>
      <c r="N106" s="315">
        <v>0</v>
      </c>
      <c r="O106" s="316">
        <v>0.0037551</v>
      </c>
      <c r="P106" s="273"/>
      <c r="Q106" s="315">
        <v>0</v>
      </c>
      <c r="R106" s="316">
        <v>0.00448882</v>
      </c>
    </row>
    <row r="107" spans="1:18" ht="15">
      <c r="A107" s="247">
        <v>46938</v>
      </c>
      <c r="B107" s="291">
        <v>0</v>
      </c>
      <c r="C107" s="291">
        <v>0.00806332</v>
      </c>
      <c r="D107" s="246"/>
      <c r="E107" s="315">
        <v>0</v>
      </c>
      <c r="F107" s="316">
        <v>0.00573283</v>
      </c>
      <c r="G107" s="273"/>
      <c r="H107" s="315">
        <v>0</v>
      </c>
      <c r="I107" s="316">
        <v>0.00518591</v>
      </c>
      <c r="J107" s="274"/>
      <c r="K107" s="315">
        <v>0</v>
      </c>
      <c r="L107" s="316">
        <v>0.00457434</v>
      </c>
      <c r="M107" s="273"/>
      <c r="N107" s="315">
        <v>0</v>
      </c>
      <c r="O107" s="316">
        <v>0.00363752</v>
      </c>
      <c r="P107" s="273"/>
      <c r="Q107" s="315">
        <v>0</v>
      </c>
      <c r="R107" s="316">
        <v>0.00436648</v>
      </c>
    </row>
    <row r="108" spans="1:18" ht="15">
      <c r="A108" s="247">
        <v>46969</v>
      </c>
      <c r="B108" s="291">
        <v>0</v>
      </c>
      <c r="C108" s="291">
        <v>0.00797488</v>
      </c>
      <c r="D108" s="246"/>
      <c r="E108" s="315">
        <v>0</v>
      </c>
      <c r="F108" s="316">
        <v>0.00564459</v>
      </c>
      <c r="G108" s="273"/>
      <c r="H108" s="315">
        <v>0</v>
      </c>
      <c r="I108" s="316">
        <v>0.00508553</v>
      </c>
      <c r="J108" s="274"/>
      <c r="K108" s="315">
        <v>0</v>
      </c>
      <c r="L108" s="316">
        <v>0.0044687</v>
      </c>
      <c r="M108" s="273"/>
      <c r="N108" s="315">
        <v>0</v>
      </c>
      <c r="O108" s="316">
        <v>0.00352985</v>
      </c>
      <c r="P108" s="273"/>
      <c r="Q108" s="315">
        <v>0</v>
      </c>
      <c r="R108" s="316">
        <v>0.00426019</v>
      </c>
    </row>
    <row r="109" spans="1:18" ht="15">
      <c r="A109" s="247">
        <v>47000</v>
      </c>
      <c r="B109" s="291">
        <v>0</v>
      </c>
      <c r="C109" s="291">
        <v>0.00790047</v>
      </c>
      <c r="D109" s="246"/>
      <c r="E109" s="315">
        <v>0</v>
      </c>
      <c r="F109" s="316">
        <v>0.00555008</v>
      </c>
      <c r="G109" s="275"/>
      <c r="H109" s="315">
        <v>0</v>
      </c>
      <c r="I109" s="316">
        <v>0.00498124</v>
      </c>
      <c r="J109" s="273"/>
      <c r="K109" s="315">
        <v>0</v>
      </c>
      <c r="L109" s="316">
        <v>0.0043611</v>
      </c>
      <c r="M109" s="274"/>
      <c r="N109" s="315">
        <v>0</v>
      </c>
      <c r="O109" s="316">
        <v>0</v>
      </c>
      <c r="P109" s="273"/>
      <c r="Q109" s="315">
        <v>0</v>
      </c>
      <c r="R109" s="316">
        <v>0.00415251</v>
      </c>
    </row>
    <row r="110" spans="1:18" ht="15">
      <c r="A110" s="247">
        <v>47030</v>
      </c>
      <c r="B110" s="291">
        <v>0</v>
      </c>
      <c r="C110" s="291">
        <v>0.00778494</v>
      </c>
      <c r="D110" s="246"/>
      <c r="E110" s="315">
        <v>0</v>
      </c>
      <c r="F110" s="316">
        <v>0.00511891</v>
      </c>
      <c r="G110" s="274"/>
      <c r="H110" s="315">
        <v>0</v>
      </c>
      <c r="I110" s="316">
        <v>0.00453369</v>
      </c>
      <c r="J110" s="274"/>
      <c r="K110" s="315">
        <v>0</v>
      </c>
      <c r="L110" s="316">
        <v>0.00390503</v>
      </c>
      <c r="M110" s="274"/>
      <c r="N110" s="315">
        <v>0</v>
      </c>
      <c r="O110" s="316">
        <v>0</v>
      </c>
      <c r="P110" s="274"/>
      <c r="Q110" s="315">
        <v>0</v>
      </c>
      <c r="R110" s="316">
        <v>0.00369488</v>
      </c>
    </row>
    <row r="111" spans="1:18" ht="15">
      <c r="A111" s="247">
        <v>47061</v>
      </c>
      <c r="B111" s="291">
        <v>0</v>
      </c>
      <c r="C111" s="291">
        <v>0.00770754</v>
      </c>
      <c r="D111" s="246"/>
      <c r="E111" s="315">
        <v>0</v>
      </c>
      <c r="F111" s="316">
        <v>0.00539735</v>
      </c>
      <c r="G111" s="274"/>
      <c r="H111" s="315">
        <v>0</v>
      </c>
      <c r="I111" s="316">
        <v>0.00480267</v>
      </c>
      <c r="J111" s="273"/>
      <c r="K111" s="315">
        <v>0</v>
      </c>
      <c r="L111" s="316">
        <v>0.0041708</v>
      </c>
      <c r="M111" s="273"/>
      <c r="N111" s="315">
        <v>0</v>
      </c>
      <c r="O111" s="316">
        <v>0</v>
      </c>
      <c r="P111" s="273"/>
      <c r="Q111" s="315">
        <v>0</v>
      </c>
      <c r="R111" s="316">
        <v>0.00396062</v>
      </c>
    </row>
    <row r="112" spans="1:18" ht="15">
      <c r="A112" s="247">
        <v>47091</v>
      </c>
      <c r="B112" s="291">
        <v>0</v>
      </c>
      <c r="C112" s="291">
        <v>0.00760618</v>
      </c>
      <c r="D112" s="246"/>
      <c r="E112" s="315">
        <v>0</v>
      </c>
      <c r="F112" s="316">
        <v>0.00531507</v>
      </c>
      <c r="G112" s="273"/>
      <c r="H112" s="315">
        <v>0</v>
      </c>
      <c r="I112" s="316">
        <v>0.00471141</v>
      </c>
      <c r="J112" s="273"/>
      <c r="K112" s="315">
        <v>0</v>
      </c>
      <c r="L112" s="316">
        <v>0.00407588</v>
      </c>
      <c r="M112" s="273"/>
      <c r="N112" s="315">
        <v>0</v>
      </c>
      <c r="O112" s="316">
        <v>0</v>
      </c>
      <c r="P112" s="273"/>
      <c r="Q112" s="315">
        <v>0</v>
      </c>
      <c r="R112" s="316">
        <v>0.00386554</v>
      </c>
    </row>
    <row r="113" spans="1:18" ht="15">
      <c r="A113" s="247">
        <v>47122</v>
      </c>
      <c r="B113" s="291">
        <v>0</v>
      </c>
      <c r="C113" s="291">
        <v>0.00745613</v>
      </c>
      <c r="D113" s="246"/>
      <c r="E113" s="312">
        <v>0</v>
      </c>
      <c r="F113" s="313">
        <v>0.00521878</v>
      </c>
      <c r="G113" s="276"/>
      <c r="H113" s="312">
        <v>0</v>
      </c>
      <c r="I113" s="313">
        <v>0.00461037</v>
      </c>
      <c r="J113" s="269"/>
      <c r="K113" s="312">
        <v>0</v>
      </c>
      <c r="L113" s="313">
        <v>0.00397458</v>
      </c>
      <c r="M113" s="269"/>
      <c r="N113" s="312">
        <v>0</v>
      </c>
      <c r="O113" s="313">
        <v>0</v>
      </c>
      <c r="P113" s="269"/>
      <c r="Q113" s="312">
        <v>0</v>
      </c>
      <c r="R113" s="313">
        <v>0.00376503</v>
      </c>
    </row>
    <row r="114" spans="1:18" ht="15">
      <c r="A114" s="247">
        <v>47153</v>
      </c>
      <c r="B114" s="291">
        <v>0</v>
      </c>
      <c r="C114" s="291">
        <v>0.00729784</v>
      </c>
      <c r="D114" s="246"/>
      <c r="E114" s="342">
        <v>0</v>
      </c>
      <c r="F114" s="343">
        <v>0.00513793</v>
      </c>
      <c r="G114" s="344"/>
      <c r="H114" s="342">
        <v>0</v>
      </c>
      <c r="I114" s="343">
        <v>0.00452191</v>
      </c>
      <c r="J114" s="344"/>
      <c r="K114" s="342">
        <v>0</v>
      </c>
      <c r="L114" s="343">
        <v>0.00388364</v>
      </c>
      <c r="M114" s="344"/>
      <c r="N114" s="342">
        <v>0</v>
      </c>
      <c r="O114" s="343">
        <v>0</v>
      </c>
      <c r="P114" s="344"/>
      <c r="Q114" s="342">
        <v>0</v>
      </c>
      <c r="R114" s="343">
        <v>0.00367426</v>
      </c>
    </row>
    <row r="115" spans="1:18" ht="15">
      <c r="A115" s="247">
        <v>47181</v>
      </c>
      <c r="B115" s="291">
        <v>0</v>
      </c>
      <c r="C115" s="291">
        <v>0.00718038</v>
      </c>
      <c r="D115" s="246"/>
      <c r="E115" s="342">
        <v>0</v>
      </c>
      <c r="F115" s="343">
        <v>0.00504969</v>
      </c>
      <c r="G115" s="344"/>
      <c r="H115" s="342">
        <v>0</v>
      </c>
      <c r="I115" s="343">
        <v>0.00442872</v>
      </c>
      <c r="J115" s="344"/>
      <c r="K115" s="342">
        <v>0</v>
      </c>
      <c r="L115" s="343">
        <v>0.00379007</v>
      </c>
      <c r="M115" s="344"/>
      <c r="N115" s="342">
        <v>0</v>
      </c>
      <c r="O115" s="343">
        <v>0</v>
      </c>
      <c r="P115" s="344"/>
      <c r="Q115" s="342">
        <v>0</v>
      </c>
      <c r="R115" s="343">
        <v>0.00358145</v>
      </c>
    </row>
    <row r="116" spans="1:18" ht="15">
      <c r="A116" s="247">
        <v>47212</v>
      </c>
      <c r="B116" s="291">
        <v>0</v>
      </c>
      <c r="C116" s="291">
        <v>0.00711259</v>
      </c>
      <c r="D116" s="246"/>
      <c r="E116" s="342">
        <v>0</v>
      </c>
      <c r="F116" s="343">
        <v>0.00494511</v>
      </c>
      <c r="G116" s="344"/>
      <c r="H116" s="342">
        <v>0</v>
      </c>
      <c r="I116" s="343">
        <v>0.00432416</v>
      </c>
      <c r="J116" s="344"/>
      <c r="K116" s="342">
        <v>0</v>
      </c>
      <c r="L116" s="343">
        <v>0.00368903</v>
      </c>
      <c r="M116" s="344"/>
      <c r="N116" s="342">
        <v>0</v>
      </c>
      <c r="O116" s="343">
        <v>0</v>
      </c>
      <c r="P116" s="344"/>
      <c r="Q116" s="342">
        <v>0</v>
      </c>
      <c r="R116" s="343">
        <v>0.00282273</v>
      </c>
    </row>
    <row r="117" spans="1:18" ht="15">
      <c r="A117" s="247">
        <v>47242</v>
      </c>
      <c r="B117" s="291">
        <v>0</v>
      </c>
      <c r="C117" s="291">
        <v>0.00696776</v>
      </c>
      <c r="D117" s="246"/>
      <c r="E117" s="342">
        <v>0</v>
      </c>
      <c r="F117" s="343">
        <v>0.00483889</v>
      </c>
      <c r="G117" s="344"/>
      <c r="H117" s="342">
        <v>0</v>
      </c>
      <c r="I117" s="343">
        <v>0.00421936</v>
      </c>
      <c r="J117" s="344"/>
      <c r="K117" s="342">
        <v>0</v>
      </c>
      <c r="L117" s="343">
        <v>0.00358882</v>
      </c>
      <c r="M117" s="344"/>
      <c r="N117" s="342">
        <v>0</v>
      </c>
      <c r="O117" s="343">
        <v>0</v>
      </c>
      <c r="P117" s="344"/>
      <c r="Q117" s="342">
        <v>0</v>
      </c>
      <c r="R117" s="343">
        <v>0</v>
      </c>
    </row>
    <row r="118" spans="1:18" ht="15">
      <c r="A118" s="247">
        <v>47273</v>
      </c>
      <c r="B118" s="291">
        <v>0</v>
      </c>
      <c r="C118" s="291">
        <v>0.00677454</v>
      </c>
      <c r="D118" s="246"/>
      <c r="E118" s="342">
        <v>0</v>
      </c>
      <c r="F118" s="343">
        <v>0.00474884</v>
      </c>
      <c r="G118" s="344"/>
      <c r="H118" s="342">
        <v>0</v>
      </c>
      <c r="I118" s="343">
        <v>0.00412757</v>
      </c>
      <c r="J118" s="344"/>
      <c r="K118" s="342">
        <v>0</v>
      </c>
      <c r="L118" s="343">
        <v>0.00349914</v>
      </c>
      <c r="M118" s="344"/>
      <c r="N118" s="342">
        <v>0</v>
      </c>
      <c r="O118" s="343">
        <v>0</v>
      </c>
      <c r="P118" s="344"/>
      <c r="Q118" s="342">
        <v>0</v>
      </c>
      <c r="R118" s="343">
        <v>0</v>
      </c>
    </row>
    <row r="119" spans="1:18" ht="15">
      <c r="A119" s="247">
        <v>47303</v>
      </c>
      <c r="B119" s="291">
        <v>0</v>
      </c>
      <c r="C119" s="291">
        <v>0.00661189</v>
      </c>
      <c r="D119" s="246"/>
      <c r="E119" s="342">
        <v>0</v>
      </c>
      <c r="F119" s="343">
        <v>0.00467796</v>
      </c>
      <c r="G119" s="344"/>
      <c r="H119" s="342">
        <v>0</v>
      </c>
      <c r="I119" s="343">
        <v>0.00405083</v>
      </c>
      <c r="J119" s="344"/>
      <c r="K119" s="342">
        <v>0</v>
      </c>
      <c r="L119" s="343">
        <v>0.00078791</v>
      </c>
      <c r="M119" s="344"/>
      <c r="N119" s="342">
        <v>0</v>
      </c>
      <c r="O119" s="343">
        <v>0</v>
      </c>
      <c r="P119" s="344"/>
      <c r="Q119" s="342">
        <v>0</v>
      </c>
      <c r="R119" s="343">
        <v>0</v>
      </c>
    </row>
    <row r="120" spans="1:18" ht="15">
      <c r="A120" s="247">
        <v>47334</v>
      </c>
      <c r="B120" s="291">
        <v>0</v>
      </c>
      <c r="C120" s="291">
        <v>0.00640171</v>
      </c>
      <c r="D120" s="246"/>
      <c r="E120" s="342">
        <v>0</v>
      </c>
      <c r="F120" s="343">
        <v>0.00458119</v>
      </c>
      <c r="G120" s="344"/>
      <c r="H120" s="342">
        <v>0</v>
      </c>
      <c r="I120" s="343">
        <v>0.00395571</v>
      </c>
      <c r="J120" s="344"/>
      <c r="K120" s="342">
        <v>0</v>
      </c>
      <c r="L120" s="343">
        <v>0</v>
      </c>
      <c r="M120" s="344"/>
      <c r="N120" s="342">
        <v>0</v>
      </c>
      <c r="O120" s="343">
        <v>0</v>
      </c>
      <c r="P120" s="344"/>
      <c r="Q120" s="342">
        <v>0</v>
      </c>
      <c r="R120" s="343">
        <v>0</v>
      </c>
    </row>
    <row r="121" spans="1:18" ht="15">
      <c r="A121" s="247">
        <v>47365</v>
      </c>
      <c r="B121" s="291">
        <v>0</v>
      </c>
      <c r="C121" s="291">
        <v>0.0063347</v>
      </c>
      <c r="D121" s="246"/>
      <c r="E121" s="342">
        <v>0</v>
      </c>
      <c r="F121" s="343">
        <v>0.00446919</v>
      </c>
      <c r="G121" s="344"/>
      <c r="H121" s="342">
        <v>0</v>
      </c>
      <c r="I121" s="343">
        <v>0.0038503</v>
      </c>
      <c r="J121" s="344"/>
      <c r="K121" s="342">
        <v>0</v>
      </c>
      <c r="L121" s="343">
        <v>0</v>
      </c>
      <c r="M121" s="344"/>
      <c r="N121" s="342">
        <v>0</v>
      </c>
      <c r="O121" s="343">
        <v>0</v>
      </c>
      <c r="P121" s="344"/>
      <c r="Q121" s="342">
        <v>0</v>
      </c>
      <c r="R121" s="343">
        <v>0</v>
      </c>
    </row>
    <row r="122" spans="1:18" ht="15">
      <c r="A122" s="247">
        <v>47395</v>
      </c>
      <c r="B122" s="291">
        <v>0</v>
      </c>
      <c r="C122" s="291">
        <v>0.00631581</v>
      </c>
      <c r="D122" s="246"/>
      <c r="E122" s="342">
        <v>0</v>
      </c>
      <c r="F122" s="343">
        <v>0.00397828</v>
      </c>
      <c r="G122" s="344"/>
      <c r="H122" s="342">
        <v>0</v>
      </c>
      <c r="I122" s="343">
        <v>0.00336377</v>
      </c>
      <c r="J122" s="344"/>
      <c r="K122" s="342">
        <v>0</v>
      </c>
      <c r="L122" s="343">
        <v>0</v>
      </c>
      <c r="M122" s="344"/>
      <c r="N122" s="342">
        <v>0</v>
      </c>
      <c r="O122" s="343">
        <v>0</v>
      </c>
      <c r="P122" s="344"/>
      <c r="Q122" s="342">
        <v>0</v>
      </c>
      <c r="R122" s="343">
        <v>0</v>
      </c>
    </row>
    <row r="123" spans="1:18" ht="15">
      <c r="A123" s="247">
        <v>47426</v>
      </c>
      <c r="B123" s="291">
        <v>0</v>
      </c>
      <c r="C123" s="291">
        <v>0.00627749</v>
      </c>
      <c r="D123" s="246"/>
      <c r="E123" s="342">
        <v>0</v>
      </c>
      <c r="F123" s="343">
        <v>0.00425095</v>
      </c>
      <c r="G123" s="344"/>
      <c r="H123" s="342">
        <v>0</v>
      </c>
      <c r="I123" s="343">
        <v>0.00364587</v>
      </c>
      <c r="J123" s="344"/>
      <c r="K123" s="342">
        <v>0</v>
      </c>
      <c r="L123" s="343">
        <v>0</v>
      </c>
      <c r="M123" s="344"/>
      <c r="N123" s="342">
        <v>0</v>
      </c>
      <c r="O123" s="343">
        <v>0</v>
      </c>
      <c r="P123" s="344"/>
      <c r="Q123" s="342">
        <v>0</v>
      </c>
      <c r="R123" s="343">
        <v>0</v>
      </c>
    </row>
    <row r="124" spans="1:18" ht="15">
      <c r="A124" s="247">
        <v>47456</v>
      </c>
      <c r="B124" s="291">
        <v>0</v>
      </c>
      <c r="C124" s="291">
        <v>0.00626047</v>
      </c>
      <c r="D124" s="246"/>
      <c r="E124" s="342">
        <v>0</v>
      </c>
      <c r="F124" s="343">
        <v>0.00418631</v>
      </c>
      <c r="G124" s="344"/>
      <c r="H124" s="342">
        <v>0</v>
      </c>
      <c r="I124" s="343">
        <v>0.00357787</v>
      </c>
      <c r="J124" s="344"/>
      <c r="K124" s="342">
        <v>0</v>
      </c>
      <c r="L124" s="343">
        <v>0</v>
      </c>
      <c r="M124" s="344"/>
      <c r="N124" s="342">
        <v>0</v>
      </c>
      <c r="O124" s="343">
        <v>0</v>
      </c>
      <c r="P124" s="344"/>
      <c r="Q124" s="342">
        <v>0</v>
      </c>
      <c r="R124" s="343">
        <v>0</v>
      </c>
    </row>
    <row r="125" spans="1:18" ht="15">
      <c r="A125" s="247">
        <v>47487</v>
      </c>
      <c r="B125" s="291">
        <v>0</v>
      </c>
      <c r="C125" s="291">
        <v>0.00627088</v>
      </c>
      <c r="D125" s="246"/>
      <c r="E125" s="342">
        <v>0</v>
      </c>
      <c r="F125" s="343">
        <v>0.0041388</v>
      </c>
      <c r="G125" s="344"/>
      <c r="H125" s="342">
        <v>0</v>
      </c>
      <c r="I125" s="343">
        <v>0.00352291</v>
      </c>
      <c r="J125" s="344"/>
      <c r="K125" s="342">
        <v>0</v>
      </c>
      <c r="L125" s="343">
        <v>0</v>
      </c>
      <c r="M125" s="344"/>
      <c r="N125" s="342">
        <v>0</v>
      </c>
      <c r="O125" s="343">
        <v>0</v>
      </c>
      <c r="P125" s="344"/>
      <c r="Q125" s="342">
        <v>0</v>
      </c>
      <c r="R125" s="343">
        <v>0</v>
      </c>
    </row>
    <row r="126" spans="1:18" ht="15">
      <c r="A126" s="247">
        <v>47518</v>
      </c>
      <c r="B126" s="291">
        <v>0</v>
      </c>
      <c r="C126" s="291">
        <v>0.00627186</v>
      </c>
      <c r="D126" s="246"/>
      <c r="E126" s="342">
        <v>0</v>
      </c>
      <c r="F126" s="343">
        <v>0.00408517</v>
      </c>
      <c r="G126" s="344"/>
      <c r="H126" s="342">
        <v>0</v>
      </c>
      <c r="I126" s="343">
        <v>0.00346401</v>
      </c>
      <c r="J126" s="344"/>
      <c r="K126" s="342">
        <v>0</v>
      </c>
      <c r="L126" s="343">
        <v>0</v>
      </c>
      <c r="M126" s="344"/>
      <c r="N126" s="342">
        <v>0</v>
      </c>
      <c r="O126" s="343">
        <v>0</v>
      </c>
      <c r="P126" s="344"/>
      <c r="Q126" s="342">
        <v>0</v>
      </c>
      <c r="R126" s="343">
        <v>0</v>
      </c>
    </row>
    <row r="127" spans="1:18" ht="15">
      <c r="A127" s="247">
        <v>47546</v>
      </c>
      <c r="B127" s="291">
        <v>0</v>
      </c>
      <c r="C127" s="291">
        <v>0.00626629</v>
      </c>
      <c r="D127" s="246"/>
      <c r="E127" s="342">
        <v>0</v>
      </c>
      <c r="F127" s="343">
        <v>0.00403925</v>
      </c>
      <c r="G127" s="344"/>
      <c r="H127" s="342">
        <v>0</v>
      </c>
      <c r="I127" s="343">
        <v>0.00165997</v>
      </c>
      <c r="J127" s="344"/>
      <c r="K127" s="342">
        <v>0</v>
      </c>
      <c r="L127" s="343">
        <v>0</v>
      </c>
      <c r="M127" s="344"/>
      <c r="N127" s="342">
        <v>0</v>
      </c>
      <c r="O127" s="343">
        <v>0</v>
      </c>
      <c r="P127" s="344"/>
      <c r="Q127" s="342">
        <v>0</v>
      </c>
      <c r="R127" s="343">
        <v>0</v>
      </c>
    </row>
    <row r="128" spans="1:18" ht="15">
      <c r="A128" s="247">
        <v>47577</v>
      </c>
      <c r="B128" s="291">
        <v>0</v>
      </c>
      <c r="C128" s="291">
        <v>0.00624548</v>
      </c>
      <c r="D128" s="246"/>
      <c r="E128" s="342">
        <v>0</v>
      </c>
      <c r="F128" s="343">
        <v>0.004003</v>
      </c>
      <c r="G128" s="344"/>
      <c r="H128" s="342">
        <v>0</v>
      </c>
      <c r="I128" s="343">
        <v>0</v>
      </c>
      <c r="J128" s="344"/>
      <c r="K128" s="342">
        <v>0</v>
      </c>
      <c r="L128" s="343">
        <v>0</v>
      </c>
      <c r="M128" s="344"/>
      <c r="N128" s="342">
        <v>0</v>
      </c>
      <c r="O128" s="343">
        <v>0</v>
      </c>
      <c r="P128" s="344"/>
      <c r="Q128" s="342">
        <v>0</v>
      </c>
      <c r="R128" s="343">
        <v>0</v>
      </c>
    </row>
    <row r="129" spans="1:18" ht="15">
      <c r="A129" s="247">
        <v>47607</v>
      </c>
      <c r="B129" s="291">
        <v>0</v>
      </c>
      <c r="C129" s="291">
        <v>0.00623202</v>
      </c>
      <c r="D129" s="246"/>
      <c r="E129" s="342">
        <v>0</v>
      </c>
      <c r="F129" s="343">
        <v>0.00396402</v>
      </c>
      <c r="G129" s="344"/>
      <c r="H129" s="342">
        <v>0</v>
      </c>
      <c r="I129" s="343">
        <v>0</v>
      </c>
      <c r="J129" s="344"/>
      <c r="K129" s="342">
        <v>0</v>
      </c>
      <c r="L129" s="343">
        <v>0</v>
      </c>
      <c r="M129" s="344"/>
      <c r="N129" s="342">
        <v>0</v>
      </c>
      <c r="O129" s="343">
        <v>0</v>
      </c>
      <c r="P129" s="344"/>
      <c r="Q129" s="342">
        <v>0</v>
      </c>
      <c r="R129" s="343">
        <v>0</v>
      </c>
    </row>
    <row r="130" spans="1:18" ht="15">
      <c r="A130" s="247">
        <v>47638</v>
      </c>
      <c r="B130" s="291">
        <v>0</v>
      </c>
      <c r="C130" s="291">
        <v>0.00620267</v>
      </c>
      <c r="D130" s="246"/>
      <c r="E130" s="342">
        <v>0</v>
      </c>
      <c r="F130" s="343">
        <v>0.0039233</v>
      </c>
      <c r="G130" s="344"/>
      <c r="H130" s="342">
        <v>0</v>
      </c>
      <c r="I130" s="343">
        <v>0</v>
      </c>
      <c r="J130" s="344"/>
      <c r="K130" s="342">
        <v>0</v>
      </c>
      <c r="L130" s="343">
        <v>0</v>
      </c>
      <c r="M130" s="344"/>
      <c r="N130" s="342">
        <v>0</v>
      </c>
      <c r="O130" s="343">
        <v>0</v>
      </c>
      <c r="P130" s="344"/>
      <c r="Q130" s="342">
        <v>0</v>
      </c>
      <c r="R130" s="343">
        <v>0</v>
      </c>
    </row>
    <row r="131" spans="1:18" ht="15">
      <c r="A131" s="247">
        <v>47668</v>
      </c>
      <c r="B131" s="291">
        <v>0</v>
      </c>
      <c r="C131" s="291">
        <v>0.00613912</v>
      </c>
      <c r="D131" s="246"/>
      <c r="E131" s="342">
        <v>0</v>
      </c>
      <c r="F131" s="343">
        <v>0.00387808</v>
      </c>
      <c r="G131" s="344"/>
      <c r="H131" s="342">
        <v>0</v>
      </c>
      <c r="I131" s="343">
        <v>0</v>
      </c>
      <c r="J131" s="344"/>
      <c r="K131" s="342">
        <v>0</v>
      </c>
      <c r="L131" s="343">
        <v>0</v>
      </c>
      <c r="M131" s="344"/>
      <c r="N131" s="342">
        <v>0</v>
      </c>
      <c r="O131" s="343">
        <v>0</v>
      </c>
      <c r="P131" s="344"/>
      <c r="Q131" s="342">
        <v>0</v>
      </c>
      <c r="R131" s="343">
        <v>0</v>
      </c>
    </row>
    <row r="132" spans="1:18" ht="15">
      <c r="A132" s="247">
        <v>47699</v>
      </c>
      <c r="B132" s="291">
        <v>0</v>
      </c>
      <c r="C132" s="291">
        <v>0.00611111</v>
      </c>
      <c r="D132" s="246"/>
      <c r="E132" s="342">
        <v>0</v>
      </c>
      <c r="F132" s="343">
        <v>0.0038359</v>
      </c>
      <c r="G132" s="344"/>
      <c r="H132" s="342">
        <v>0</v>
      </c>
      <c r="I132" s="343">
        <v>0</v>
      </c>
      <c r="J132" s="344"/>
      <c r="K132" s="342">
        <v>0</v>
      </c>
      <c r="L132" s="343">
        <v>0</v>
      </c>
      <c r="M132" s="344"/>
      <c r="N132" s="342">
        <v>0</v>
      </c>
      <c r="O132" s="343">
        <v>0</v>
      </c>
      <c r="P132" s="272"/>
      <c r="Q132" s="342">
        <v>0</v>
      </c>
      <c r="R132" s="343">
        <v>0</v>
      </c>
    </row>
    <row r="133" spans="1:18" ht="15">
      <c r="A133" s="247">
        <v>47730</v>
      </c>
      <c r="B133" s="291">
        <v>0</v>
      </c>
      <c r="C133" s="291">
        <v>0.00611856</v>
      </c>
      <c r="D133" s="246"/>
      <c r="E133" s="342">
        <v>0</v>
      </c>
      <c r="F133" s="343">
        <v>0.00378909</v>
      </c>
      <c r="G133" s="344"/>
      <c r="H133" s="342">
        <v>0</v>
      </c>
      <c r="I133" s="343">
        <v>0</v>
      </c>
      <c r="J133" s="344"/>
      <c r="K133" s="342">
        <v>0</v>
      </c>
      <c r="L133" s="343">
        <v>0</v>
      </c>
      <c r="M133" s="344"/>
      <c r="N133" s="342">
        <v>0</v>
      </c>
      <c r="O133" s="343">
        <v>0</v>
      </c>
      <c r="P133" s="344"/>
      <c r="Q133" s="342">
        <v>0</v>
      </c>
      <c r="R133" s="343">
        <v>0</v>
      </c>
    </row>
    <row r="134" spans="1:18" ht="15">
      <c r="A134" s="247">
        <v>47760</v>
      </c>
      <c r="B134" s="291">
        <v>0</v>
      </c>
      <c r="C134" s="291">
        <v>0.00611281</v>
      </c>
      <c r="D134" s="246"/>
      <c r="E134" s="342">
        <v>0</v>
      </c>
      <c r="F134" s="343">
        <v>0.00331729</v>
      </c>
      <c r="G134" s="344"/>
      <c r="H134" s="342">
        <v>0</v>
      </c>
      <c r="I134" s="343">
        <v>0</v>
      </c>
      <c r="J134" s="344"/>
      <c r="K134" s="342">
        <v>0</v>
      </c>
      <c r="L134" s="343">
        <v>0</v>
      </c>
      <c r="M134" s="344"/>
      <c r="N134" s="342">
        <v>0</v>
      </c>
      <c r="O134" s="343">
        <v>0</v>
      </c>
      <c r="P134" s="344"/>
      <c r="Q134" s="342">
        <v>0</v>
      </c>
      <c r="R134" s="343">
        <v>0</v>
      </c>
    </row>
    <row r="135" spans="1:18" ht="15">
      <c r="A135" s="247">
        <v>47791</v>
      </c>
      <c r="B135" s="291">
        <v>0</v>
      </c>
      <c r="C135" s="291">
        <v>0.00608144</v>
      </c>
      <c r="D135" s="246"/>
      <c r="E135" s="342">
        <v>0</v>
      </c>
      <c r="F135" s="343">
        <v>0.00368309</v>
      </c>
      <c r="G135" s="344"/>
      <c r="H135" s="342">
        <v>0</v>
      </c>
      <c r="I135" s="343">
        <v>0</v>
      </c>
      <c r="J135" s="344"/>
      <c r="K135" s="342">
        <v>0</v>
      </c>
      <c r="L135" s="343">
        <v>0</v>
      </c>
      <c r="M135" s="344"/>
      <c r="N135" s="342">
        <v>0</v>
      </c>
      <c r="O135" s="343">
        <v>0</v>
      </c>
      <c r="P135" s="344"/>
      <c r="Q135" s="342">
        <v>0</v>
      </c>
      <c r="R135" s="343">
        <v>0</v>
      </c>
    </row>
    <row r="136" spans="1:18" ht="15">
      <c r="A136" s="247">
        <v>47821</v>
      </c>
      <c r="B136" s="291">
        <v>0</v>
      </c>
      <c r="C136" s="291">
        <v>0.00610203</v>
      </c>
      <c r="D136" s="246"/>
      <c r="E136" s="342">
        <v>0</v>
      </c>
      <c r="F136" s="343">
        <v>0.00296108</v>
      </c>
      <c r="G136" s="344"/>
      <c r="H136" s="342">
        <v>0</v>
      </c>
      <c r="I136" s="343">
        <v>0</v>
      </c>
      <c r="J136" s="344"/>
      <c r="K136" s="342">
        <v>0</v>
      </c>
      <c r="L136" s="343">
        <v>0</v>
      </c>
      <c r="M136" s="344"/>
      <c r="N136" s="342">
        <v>0</v>
      </c>
      <c r="O136" s="343">
        <v>0</v>
      </c>
      <c r="P136" s="344"/>
      <c r="Q136" s="342">
        <v>0</v>
      </c>
      <c r="R136" s="343">
        <v>0</v>
      </c>
    </row>
    <row r="137" spans="1:18" ht="15">
      <c r="A137" s="247">
        <v>47852</v>
      </c>
      <c r="B137" s="291">
        <v>0</v>
      </c>
      <c r="C137" s="291">
        <v>0.00610266</v>
      </c>
      <c r="D137" s="246"/>
      <c r="E137" s="342">
        <v>0</v>
      </c>
      <c r="F137" s="343">
        <v>0</v>
      </c>
      <c r="G137" s="344"/>
      <c r="H137" s="342">
        <v>0</v>
      </c>
      <c r="I137" s="343">
        <v>0</v>
      </c>
      <c r="J137" s="344"/>
      <c r="K137" s="342">
        <v>0</v>
      </c>
      <c r="L137" s="343">
        <v>0</v>
      </c>
      <c r="M137" s="344"/>
      <c r="N137" s="342">
        <v>0</v>
      </c>
      <c r="O137" s="343">
        <v>0</v>
      </c>
      <c r="P137" s="344"/>
      <c r="Q137" s="342">
        <v>0</v>
      </c>
      <c r="R137" s="343">
        <v>0</v>
      </c>
    </row>
    <row r="138" spans="1:18" ht="15">
      <c r="A138" s="247">
        <v>47883</v>
      </c>
      <c r="B138" s="291">
        <v>0</v>
      </c>
      <c r="C138" s="291">
        <v>0.00608703</v>
      </c>
      <c r="D138" s="246"/>
      <c r="E138" s="342">
        <v>0</v>
      </c>
      <c r="F138" s="343">
        <v>0</v>
      </c>
      <c r="G138" s="344"/>
      <c r="H138" s="342">
        <v>0</v>
      </c>
      <c r="I138" s="343">
        <v>0</v>
      </c>
      <c r="J138" s="344"/>
      <c r="K138" s="342">
        <v>0</v>
      </c>
      <c r="L138" s="343">
        <v>0</v>
      </c>
      <c r="M138" s="344"/>
      <c r="N138" s="342">
        <v>0</v>
      </c>
      <c r="O138" s="343">
        <v>0</v>
      </c>
      <c r="P138" s="344"/>
      <c r="Q138" s="342">
        <v>0</v>
      </c>
      <c r="R138" s="343">
        <v>0</v>
      </c>
    </row>
    <row r="139" spans="1:18" ht="15">
      <c r="A139" s="247">
        <v>47911</v>
      </c>
      <c r="B139" s="291">
        <v>0</v>
      </c>
      <c r="C139" s="291">
        <v>0.0060898</v>
      </c>
      <c r="D139" s="246"/>
      <c r="E139" s="342">
        <v>0</v>
      </c>
      <c r="F139" s="343">
        <v>0</v>
      </c>
      <c r="G139" s="344"/>
      <c r="H139" s="342">
        <v>0</v>
      </c>
      <c r="I139" s="343">
        <v>0</v>
      </c>
      <c r="J139" s="344"/>
      <c r="K139" s="342">
        <v>0</v>
      </c>
      <c r="L139" s="343">
        <v>0</v>
      </c>
      <c r="M139" s="344"/>
      <c r="N139" s="342">
        <v>0</v>
      </c>
      <c r="O139" s="343">
        <v>0</v>
      </c>
      <c r="P139" s="344"/>
      <c r="Q139" s="342">
        <v>0</v>
      </c>
      <c r="R139" s="343">
        <v>0</v>
      </c>
    </row>
    <row r="140" spans="1:18" ht="15">
      <c r="A140" s="247">
        <v>47942</v>
      </c>
      <c r="B140" s="291">
        <v>0</v>
      </c>
      <c r="C140" s="291">
        <v>0.00609306</v>
      </c>
      <c r="D140" s="246"/>
      <c r="E140" s="342">
        <v>0</v>
      </c>
      <c r="F140" s="343">
        <v>0</v>
      </c>
      <c r="G140" s="344"/>
      <c r="H140" s="342">
        <v>0</v>
      </c>
      <c r="I140" s="343">
        <v>0</v>
      </c>
      <c r="J140" s="344"/>
      <c r="K140" s="342">
        <v>0</v>
      </c>
      <c r="L140" s="343">
        <v>0</v>
      </c>
      <c r="M140" s="272"/>
      <c r="N140" s="342">
        <v>0</v>
      </c>
      <c r="O140" s="343">
        <v>0</v>
      </c>
      <c r="P140" s="344"/>
      <c r="Q140" s="342">
        <v>0</v>
      </c>
      <c r="R140" s="343">
        <v>0</v>
      </c>
    </row>
    <row r="141" spans="1:18" ht="15">
      <c r="A141" s="247">
        <v>47972</v>
      </c>
      <c r="B141" s="291">
        <v>0</v>
      </c>
      <c r="C141" s="291">
        <v>0.00611761</v>
      </c>
      <c r="D141" s="246"/>
      <c r="E141" s="342">
        <v>0</v>
      </c>
      <c r="F141" s="343">
        <v>0</v>
      </c>
      <c r="G141" s="344"/>
      <c r="H141" s="342">
        <v>0</v>
      </c>
      <c r="I141" s="343">
        <v>0</v>
      </c>
      <c r="J141" s="344"/>
      <c r="K141" s="342">
        <v>0</v>
      </c>
      <c r="L141" s="343">
        <v>0</v>
      </c>
      <c r="M141" s="344"/>
      <c r="N141" s="342">
        <v>0</v>
      </c>
      <c r="O141" s="343">
        <v>0</v>
      </c>
      <c r="P141" s="344"/>
      <c r="Q141" s="342">
        <v>0</v>
      </c>
      <c r="R141" s="343">
        <v>0</v>
      </c>
    </row>
    <row r="142" spans="1:18" ht="15">
      <c r="A142" s="247">
        <v>48003</v>
      </c>
      <c r="B142" s="291">
        <v>0</v>
      </c>
      <c r="C142" s="291">
        <v>0.00613803</v>
      </c>
      <c r="D142" s="246"/>
      <c r="E142" s="342">
        <v>0</v>
      </c>
      <c r="F142" s="343">
        <v>0</v>
      </c>
      <c r="G142" s="344"/>
      <c r="H142" s="342">
        <v>0</v>
      </c>
      <c r="I142" s="343">
        <v>0</v>
      </c>
      <c r="J142" s="344"/>
      <c r="K142" s="342">
        <v>0</v>
      </c>
      <c r="L142" s="343">
        <v>0</v>
      </c>
      <c r="M142" s="344"/>
      <c r="N142" s="342">
        <v>0</v>
      </c>
      <c r="O142" s="343">
        <v>0</v>
      </c>
      <c r="P142" s="344"/>
      <c r="Q142" s="342">
        <v>0</v>
      </c>
      <c r="R142" s="343">
        <v>0</v>
      </c>
    </row>
    <row r="143" spans="1:18" ht="15">
      <c r="A143" s="247">
        <v>48033</v>
      </c>
      <c r="B143" s="291">
        <v>0</v>
      </c>
      <c r="C143" s="291">
        <v>0.00615743</v>
      </c>
      <c r="D143" s="246"/>
      <c r="E143" s="342">
        <v>0</v>
      </c>
      <c r="F143" s="343">
        <v>0</v>
      </c>
      <c r="G143" s="344"/>
      <c r="H143" s="342">
        <v>0</v>
      </c>
      <c r="I143" s="343">
        <v>0</v>
      </c>
      <c r="J143" s="344"/>
      <c r="K143" s="342">
        <v>0</v>
      </c>
      <c r="L143" s="343">
        <v>0</v>
      </c>
      <c r="M143" s="344"/>
      <c r="N143" s="342">
        <v>0</v>
      </c>
      <c r="O143" s="343">
        <v>0</v>
      </c>
      <c r="P143" s="344"/>
      <c r="Q143" s="342">
        <v>0</v>
      </c>
      <c r="R143" s="343">
        <v>0</v>
      </c>
    </row>
    <row r="144" spans="1:18" ht="15">
      <c r="A144" s="247">
        <v>48064</v>
      </c>
      <c r="B144" s="291">
        <v>0</v>
      </c>
      <c r="C144" s="291">
        <v>0.0061572</v>
      </c>
      <c r="D144" s="246"/>
      <c r="E144" s="342">
        <v>0</v>
      </c>
      <c r="F144" s="343">
        <v>0</v>
      </c>
      <c r="G144" s="344"/>
      <c r="H144" s="342">
        <v>0</v>
      </c>
      <c r="I144" s="343">
        <v>0</v>
      </c>
      <c r="J144" s="344"/>
      <c r="K144" s="342">
        <v>0</v>
      </c>
      <c r="L144" s="343">
        <v>0</v>
      </c>
      <c r="M144" s="344"/>
      <c r="N144" s="342">
        <v>0</v>
      </c>
      <c r="O144" s="343">
        <v>0</v>
      </c>
      <c r="P144" s="344"/>
      <c r="Q144" s="342">
        <v>0</v>
      </c>
      <c r="R144" s="343">
        <v>0</v>
      </c>
    </row>
    <row r="145" spans="1:18" ht="15">
      <c r="A145" s="247">
        <v>48095</v>
      </c>
      <c r="B145" s="291">
        <v>0</v>
      </c>
      <c r="C145" s="291">
        <v>0.00611905</v>
      </c>
      <c r="D145" s="246"/>
      <c r="E145" s="342">
        <v>0</v>
      </c>
      <c r="F145" s="343">
        <v>0</v>
      </c>
      <c r="G145" s="344"/>
      <c r="H145" s="342">
        <v>0</v>
      </c>
      <c r="I145" s="343">
        <v>0</v>
      </c>
      <c r="J145" s="344"/>
      <c r="K145" s="342">
        <v>0</v>
      </c>
      <c r="L145" s="343">
        <v>0</v>
      </c>
      <c r="M145" s="344"/>
      <c r="N145" s="342">
        <v>0</v>
      </c>
      <c r="O145" s="343">
        <v>0</v>
      </c>
      <c r="P145" s="344"/>
      <c r="Q145" s="342">
        <v>0</v>
      </c>
      <c r="R145" s="343">
        <v>0</v>
      </c>
    </row>
    <row r="146" spans="1:18" ht="15">
      <c r="A146" s="247">
        <v>48125</v>
      </c>
      <c r="B146" s="291">
        <v>0</v>
      </c>
      <c r="C146" s="291">
        <v>0.00611245</v>
      </c>
      <c r="D146" s="246"/>
      <c r="E146" s="342">
        <v>0</v>
      </c>
      <c r="F146" s="343">
        <v>0</v>
      </c>
      <c r="G146" s="272"/>
      <c r="H146" s="342">
        <v>0</v>
      </c>
      <c r="I146" s="343">
        <v>0</v>
      </c>
      <c r="J146" s="272"/>
      <c r="K146" s="342">
        <v>0</v>
      </c>
      <c r="L146" s="343">
        <v>0</v>
      </c>
      <c r="M146" s="344"/>
      <c r="N146" s="342">
        <v>0</v>
      </c>
      <c r="O146" s="343">
        <v>0</v>
      </c>
      <c r="P146" s="344"/>
      <c r="Q146" s="342">
        <v>0</v>
      </c>
      <c r="R146" s="343">
        <v>0</v>
      </c>
    </row>
    <row r="147" spans="1:18" ht="15">
      <c r="A147" s="247">
        <v>48156</v>
      </c>
      <c r="B147" s="291">
        <v>0</v>
      </c>
      <c r="C147" s="291">
        <v>0.00611167</v>
      </c>
      <c r="D147" s="246"/>
      <c r="E147" s="342">
        <v>0</v>
      </c>
      <c r="F147" s="343">
        <v>0</v>
      </c>
      <c r="G147" s="344"/>
      <c r="H147" s="342">
        <v>0</v>
      </c>
      <c r="I147" s="343">
        <v>0</v>
      </c>
      <c r="J147" s="344"/>
      <c r="K147" s="342">
        <v>0</v>
      </c>
      <c r="L147" s="343">
        <v>0</v>
      </c>
      <c r="M147" s="344"/>
      <c r="N147" s="342">
        <v>0</v>
      </c>
      <c r="O147" s="343">
        <v>0</v>
      </c>
      <c r="P147" s="344"/>
      <c r="Q147" s="342">
        <v>0</v>
      </c>
      <c r="R147" s="343">
        <v>0</v>
      </c>
    </row>
    <row r="148" spans="1:18" ht="15">
      <c r="A148" s="247">
        <v>48186</v>
      </c>
      <c r="B148" s="291">
        <v>0</v>
      </c>
      <c r="C148" s="291">
        <v>0.00609014</v>
      </c>
      <c r="D148" s="246"/>
      <c r="E148" s="342">
        <v>0</v>
      </c>
      <c r="F148" s="343">
        <v>0</v>
      </c>
      <c r="G148" s="344"/>
      <c r="H148" s="342">
        <v>0</v>
      </c>
      <c r="I148" s="343">
        <v>0</v>
      </c>
      <c r="J148" s="344"/>
      <c r="K148" s="342">
        <v>0</v>
      </c>
      <c r="L148" s="343">
        <v>0</v>
      </c>
      <c r="M148" s="344"/>
      <c r="N148" s="342">
        <v>0</v>
      </c>
      <c r="O148" s="343">
        <v>0</v>
      </c>
      <c r="P148" s="344"/>
      <c r="Q148" s="342">
        <v>0</v>
      </c>
      <c r="R148" s="343">
        <v>0</v>
      </c>
    </row>
    <row r="149" spans="1:18" ht="15">
      <c r="A149" s="247">
        <v>48217</v>
      </c>
      <c r="B149" s="291">
        <v>0</v>
      </c>
      <c r="C149" s="291">
        <v>0.00608951</v>
      </c>
      <c r="D149" s="246"/>
      <c r="E149" s="342">
        <v>0</v>
      </c>
      <c r="F149" s="343">
        <v>0</v>
      </c>
      <c r="G149" s="344"/>
      <c r="H149" s="342">
        <v>0</v>
      </c>
      <c r="I149" s="343">
        <v>0</v>
      </c>
      <c r="J149" s="344"/>
      <c r="K149" s="342">
        <v>0</v>
      </c>
      <c r="L149" s="343">
        <v>0</v>
      </c>
      <c r="M149" s="344"/>
      <c r="N149" s="342">
        <v>0</v>
      </c>
      <c r="O149" s="343">
        <v>0</v>
      </c>
      <c r="P149" s="344"/>
      <c r="Q149" s="342">
        <v>0</v>
      </c>
      <c r="R149" s="343">
        <v>0</v>
      </c>
    </row>
    <row r="150" spans="1:18" ht="15">
      <c r="A150" s="247">
        <v>48248</v>
      </c>
      <c r="B150" s="291">
        <v>0</v>
      </c>
      <c r="C150" s="291">
        <v>0.00607273</v>
      </c>
      <c r="D150" s="246"/>
      <c r="E150" s="342">
        <v>0</v>
      </c>
      <c r="F150" s="343">
        <v>0</v>
      </c>
      <c r="G150" s="344"/>
      <c r="H150" s="342">
        <v>0</v>
      </c>
      <c r="I150" s="343">
        <v>0</v>
      </c>
      <c r="J150" s="344"/>
      <c r="K150" s="342">
        <v>0</v>
      </c>
      <c r="L150" s="343">
        <v>0</v>
      </c>
      <c r="M150" s="344"/>
      <c r="N150" s="342">
        <v>0</v>
      </c>
      <c r="O150" s="343">
        <v>0</v>
      </c>
      <c r="P150" s="344"/>
      <c r="Q150" s="342">
        <v>0</v>
      </c>
      <c r="R150" s="343">
        <v>0</v>
      </c>
    </row>
    <row r="151" spans="1:18" ht="15">
      <c r="A151" s="247">
        <v>48277</v>
      </c>
      <c r="B151" s="291">
        <v>0</v>
      </c>
      <c r="C151" s="291">
        <v>0.00601991</v>
      </c>
      <c r="D151" s="246"/>
      <c r="E151" s="342">
        <v>0</v>
      </c>
      <c r="F151" s="343">
        <v>0</v>
      </c>
      <c r="G151" s="344"/>
      <c r="H151" s="342">
        <v>0</v>
      </c>
      <c r="I151" s="343">
        <v>0</v>
      </c>
      <c r="J151" s="344"/>
      <c r="K151" s="342">
        <v>0</v>
      </c>
      <c r="L151" s="343">
        <v>0</v>
      </c>
      <c r="M151" s="344"/>
      <c r="N151" s="342">
        <v>0</v>
      </c>
      <c r="O151" s="343">
        <v>0</v>
      </c>
      <c r="P151" s="344"/>
      <c r="Q151" s="342">
        <v>0</v>
      </c>
      <c r="R151" s="343">
        <v>0</v>
      </c>
    </row>
    <row r="152" spans="1:18" ht="15">
      <c r="A152" s="247">
        <v>48308</v>
      </c>
      <c r="B152" s="291">
        <v>0</v>
      </c>
      <c r="C152" s="291">
        <v>0.00597885</v>
      </c>
      <c r="D152" s="246"/>
      <c r="E152" s="342">
        <v>0</v>
      </c>
      <c r="F152" s="343">
        <v>0</v>
      </c>
      <c r="G152" s="344"/>
      <c r="H152" s="342">
        <v>0</v>
      </c>
      <c r="I152" s="343">
        <v>0</v>
      </c>
      <c r="J152" s="344"/>
      <c r="K152" s="342">
        <v>0</v>
      </c>
      <c r="L152" s="343">
        <v>0</v>
      </c>
      <c r="M152" s="344"/>
      <c r="N152" s="342">
        <v>0</v>
      </c>
      <c r="O152" s="343">
        <v>0</v>
      </c>
      <c r="P152" s="344"/>
      <c r="Q152" s="342">
        <v>0</v>
      </c>
      <c r="R152" s="343">
        <v>0</v>
      </c>
    </row>
    <row r="153" spans="1:18" ht="15">
      <c r="A153" s="247">
        <v>48338</v>
      </c>
      <c r="B153" s="291">
        <v>0</v>
      </c>
      <c r="C153" s="291">
        <v>0.00594826</v>
      </c>
      <c r="D153" s="246"/>
      <c r="E153" s="342">
        <v>0</v>
      </c>
      <c r="F153" s="343">
        <v>0</v>
      </c>
      <c r="G153" s="344"/>
      <c r="H153" s="342">
        <v>0</v>
      </c>
      <c r="I153" s="343">
        <v>0</v>
      </c>
      <c r="J153" s="344"/>
      <c r="K153" s="342">
        <v>0</v>
      </c>
      <c r="L153" s="343">
        <v>0</v>
      </c>
      <c r="M153" s="344"/>
      <c r="N153" s="342">
        <v>0</v>
      </c>
      <c r="O153" s="343">
        <v>0</v>
      </c>
      <c r="P153" s="344"/>
      <c r="Q153" s="342">
        <v>0</v>
      </c>
      <c r="R153" s="343">
        <v>0</v>
      </c>
    </row>
    <row r="154" spans="1:18" ht="15">
      <c r="A154" s="247">
        <v>48369</v>
      </c>
      <c r="B154" s="291">
        <v>0</v>
      </c>
      <c r="C154" s="291">
        <v>0.00593528</v>
      </c>
      <c r="D154" s="246"/>
      <c r="E154" s="342">
        <v>0</v>
      </c>
      <c r="F154" s="343">
        <v>0</v>
      </c>
      <c r="G154" s="344"/>
      <c r="H154" s="342">
        <v>0</v>
      </c>
      <c r="I154" s="343">
        <v>0</v>
      </c>
      <c r="J154" s="344"/>
      <c r="K154" s="342">
        <v>0</v>
      </c>
      <c r="L154" s="343">
        <v>0</v>
      </c>
      <c r="M154" s="344"/>
      <c r="N154" s="342">
        <v>0</v>
      </c>
      <c r="O154" s="343">
        <v>0</v>
      </c>
      <c r="P154" s="344"/>
      <c r="Q154" s="342">
        <v>0</v>
      </c>
      <c r="R154" s="343">
        <v>0</v>
      </c>
    </row>
    <row r="155" spans="1:18" ht="15">
      <c r="A155" s="247">
        <v>48399</v>
      </c>
      <c r="B155" s="291">
        <v>0</v>
      </c>
      <c r="C155" s="291">
        <v>0.00589995</v>
      </c>
      <c r="D155" s="246"/>
      <c r="E155" s="342">
        <v>0</v>
      </c>
      <c r="F155" s="343">
        <v>0</v>
      </c>
      <c r="G155" s="344"/>
      <c r="H155" s="342">
        <v>0</v>
      </c>
      <c r="I155" s="343">
        <v>0</v>
      </c>
      <c r="J155" s="344"/>
      <c r="K155" s="342">
        <v>0</v>
      </c>
      <c r="L155" s="343">
        <v>0</v>
      </c>
      <c r="M155" s="344"/>
      <c r="N155" s="342">
        <v>0</v>
      </c>
      <c r="O155" s="343">
        <v>0</v>
      </c>
      <c r="P155" s="344"/>
      <c r="Q155" s="342">
        <v>0</v>
      </c>
      <c r="R155" s="343">
        <v>0</v>
      </c>
    </row>
    <row r="156" spans="1:18" ht="15">
      <c r="A156" s="247">
        <v>48430</v>
      </c>
      <c r="B156" s="291">
        <v>0</v>
      </c>
      <c r="C156" s="291">
        <v>0.005869</v>
      </c>
      <c r="D156" s="246"/>
      <c r="E156" s="342">
        <v>0</v>
      </c>
      <c r="F156" s="343">
        <v>0</v>
      </c>
      <c r="G156" s="344"/>
      <c r="H156" s="342">
        <v>0</v>
      </c>
      <c r="I156" s="343">
        <v>0</v>
      </c>
      <c r="J156" s="344"/>
      <c r="K156" s="342">
        <v>0</v>
      </c>
      <c r="L156" s="343">
        <v>0</v>
      </c>
      <c r="M156" s="344"/>
      <c r="N156" s="342">
        <v>0</v>
      </c>
      <c r="O156" s="343">
        <v>0</v>
      </c>
      <c r="P156" s="344"/>
      <c r="Q156" s="342">
        <v>0</v>
      </c>
      <c r="R156" s="343">
        <v>0</v>
      </c>
    </row>
    <row r="157" spans="1:18" ht="15">
      <c r="A157" s="247">
        <v>48461</v>
      </c>
      <c r="B157" s="291">
        <v>0</v>
      </c>
      <c r="C157" s="291">
        <v>0.00580573</v>
      </c>
      <c r="D157" s="246"/>
      <c r="E157" s="342">
        <v>0</v>
      </c>
      <c r="F157" s="343">
        <v>0</v>
      </c>
      <c r="G157" s="344"/>
      <c r="H157" s="342">
        <v>0</v>
      </c>
      <c r="I157" s="343">
        <v>0</v>
      </c>
      <c r="J157" s="344"/>
      <c r="K157" s="342">
        <v>0</v>
      </c>
      <c r="L157" s="343">
        <v>0</v>
      </c>
      <c r="M157" s="344"/>
      <c r="N157" s="342">
        <v>0</v>
      </c>
      <c r="O157" s="343">
        <v>0</v>
      </c>
      <c r="P157" s="344"/>
      <c r="Q157" s="342">
        <v>0</v>
      </c>
      <c r="R157" s="343">
        <v>0</v>
      </c>
    </row>
    <row r="158" spans="1:18" ht="15">
      <c r="A158" s="247">
        <v>48491</v>
      </c>
      <c r="B158" s="291">
        <v>0</v>
      </c>
      <c r="C158" s="291">
        <v>0.00575483</v>
      </c>
      <c r="D158" s="246"/>
      <c r="E158" s="342">
        <v>0</v>
      </c>
      <c r="F158" s="343">
        <v>0</v>
      </c>
      <c r="G158" s="344"/>
      <c r="H158" s="342">
        <v>0</v>
      </c>
      <c r="I158" s="343">
        <v>0</v>
      </c>
      <c r="J158" s="344"/>
      <c r="K158" s="342">
        <v>0</v>
      </c>
      <c r="L158" s="343">
        <v>0</v>
      </c>
      <c r="M158" s="344"/>
      <c r="N158" s="342">
        <v>0</v>
      </c>
      <c r="O158" s="343">
        <v>0</v>
      </c>
      <c r="P158" s="344"/>
      <c r="Q158" s="342">
        <v>0</v>
      </c>
      <c r="R158" s="343">
        <v>0</v>
      </c>
    </row>
    <row r="159" spans="1:18" ht="15">
      <c r="A159" s="247">
        <v>48522</v>
      </c>
      <c r="B159" s="291">
        <v>0</v>
      </c>
      <c r="C159" s="291">
        <v>0.00569191</v>
      </c>
      <c r="D159" s="246"/>
      <c r="E159" s="342">
        <v>0</v>
      </c>
      <c r="F159" s="343">
        <v>0</v>
      </c>
      <c r="G159" s="344"/>
      <c r="H159" s="342">
        <v>0</v>
      </c>
      <c r="I159" s="343">
        <v>0</v>
      </c>
      <c r="J159" s="344"/>
      <c r="K159" s="342">
        <v>0</v>
      </c>
      <c r="L159" s="343">
        <v>0</v>
      </c>
      <c r="M159" s="344"/>
      <c r="N159" s="342">
        <v>0</v>
      </c>
      <c r="O159" s="343">
        <v>0</v>
      </c>
      <c r="P159" s="344"/>
      <c r="Q159" s="342">
        <v>0</v>
      </c>
      <c r="R159" s="343">
        <v>0</v>
      </c>
    </row>
    <row r="160" spans="1:18" ht="15">
      <c r="A160" s="247">
        <v>48552</v>
      </c>
      <c r="B160" s="291">
        <v>0</v>
      </c>
      <c r="C160" s="291">
        <v>0.0056061</v>
      </c>
      <c r="D160" s="246"/>
      <c r="E160" s="342">
        <v>0</v>
      </c>
      <c r="F160" s="343">
        <v>0</v>
      </c>
      <c r="G160" s="344"/>
      <c r="H160" s="342">
        <v>0</v>
      </c>
      <c r="I160" s="343">
        <v>0</v>
      </c>
      <c r="J160" s="344"/>
      <c r="K160" s="342">
        <v>0</v>
      </c>
      <c r="L160" s="343">
        <v>0</v>
      </c>
      <c r="M160" s="344"/>
      <c r="N160" s="342">
        <v>0</v>
      </c>
      <c r="O160" s="343">
        <v>0</v>
      </c>
      <c r="P160" s="344"/>
      <c r="Q160" s="342">
        <v>0</v>
      </c>
      <c r="R160" s="343">
        <v>0</v>
      </c>
    </row>
    <row r="161" spans="1:18" ht="15">
      <c r="A161" s="247">
        <v>48583</v>
      </c>
      <c r="B161" s="291">
        <v>0</v>
      </c>
      <c r="C161" s="291">
        <v>0.00556323</v>
      </c>
      <c r="D161" s="246"/>
      <c r="E161" s="342">
        <v>0</v>
      </c>
      <c r="F161" s="343">
        <v>0</v>
      </c>
      <c r="G161" s="344"/>
      <c r="H161" s="342">
        <v>0</v>
      </c>
      <c r="I161" s="343">
        <v>0</v>
      </c>
      <c r="J161" s="344"/>
      <c r="K161" s="342">
        <v>0</v>
      </c>
      <c r="L161" s="343">
        <v>0</v>
      </c>
      <c r="M161" s="344"/>
      <c r="N161" s="342">
        <v>0</v>
      </c>
      <c r="O161" s="343">
        <v>0</v>
      </c>
      <c r="P161" s="344"/>
      <c r="Q161" s="342">
        <v>0</v>
      </c>
      <c r="R161" s="343">
        <v>0</v>
      </c>
    </row>
    <row r="162" spans="1:18" ht="15">
      <c r="A162" s="247">
        <v>48614</v>
      </c>
      <c r="B162" s="291">
        <v>0</v>
      </c>
      <c r="C162" s="291">
        <v>0.00553993</v>
      </c>
      <c r="D162" s="246"/>
      <c r="E162" s="342">
        <v>0</v>
      </c>
      <c r="F162" s="343">
        <v>0</v>
      </c>
      <c r="G162" s="344"/>
      <c r="H162" s="342">
        <v>0</v>
      </c>
      <c r="I162" s="343">
        <v>0</v>
      </c>
      <c r="J162" s="344"/>
      <c r="K162" s="342">
        <v>0</v>
      </c>
      <c r="L162" s="343">
        <v>0</v>
      </c>
      <c r="M162" s="344"/>
      <c r="N162" s="342">
        <v>0</v>
      </c>
      <c r="O162" s="343">
        <v>0</v>
      </c>
      <c r="P162" s="344"/>
      <c r="Q162" s="342">
        <v>0</v>
      </c>
      <c r="R162" s="343">
        <v>0</v>
      </c>
    </row>
    <row r="163" spans="1:18" ht="15">
      <c r="A163" s="247">
        <v>48642</v>
      </c>
      <c r="B163" s="291">
        <v>0</v>
      </c>
      <c r="C163" s="291">
        <v>0.00546483</v>
      </c>
      <c r="D163" s="246"/>
      <c r="E163" s="342">
        <v>0</v>
      </c>
      <c r="F163" s="343">
        <v>0</v>
      </c>
      <c r="G163" s="344"/>
      <c r="H163" s="342">
        <v>0</v>
      </c>
      <c r="I163" s="343">
        <v>0</v>
      </c>
      <c r="J163" s="344"/>
      <c r="K163" s="342">
        <v>0</v>
      </c>
      <c r="L163" s="343">
        <v>0</v>
      </c>
      <c r="M163" s="344"/>
      <c r="N163" s="342">
        <v>0</v>
      </c>
      <c r="O163" s="343">
        <v>0</v>
      </c>
      <c r="P163" s="344"/>
      <c r="Q163" s="342">
        <v>0</v>
      </c>
      <c r="R163" s="343">
        <v>0</v>
      </c>
    </row>
    <row r="164" spans="1:18" ht="15">
      <c r="A164" s="247">
        <v>48673</v>
      </c>
      <c r="B164" s="291">
        <v>0</v>
      </c>
      <c r="C164" s="291">
        <v>0.00540563</v>
      </c>
      <c r="D164" s="246"/>
      <c r="E164" s="342">
        <v>0</v>
      </c>
      <c r="F164" s="343">
        <v>0</v>
      </c>
      <c r="G164" s="344"/>
      <c r="H164" s="342">
        <v>0</v>
      </c>
      <c r="I164" s="343">
        <v>0</v>
      </c>
      <c r="J164" s="344"/>
      <c r="K164" s="342">
        <v>0</v>
      </c>
      <c r="L164" s="343">
        <v>0</v>
      </c>
      <c r="M164" s="344"/>
      <c r="N164" s="342">
        <v>0</v>
      </c>
      <c r="O164" s="343">
        <v>0</v>
      </c>
      <c r="P164" s="344"/>
      <c r="Q164" s="342">
        <v>0</v>
      </c>
      <c r="R164" s="343">
        <v>0</v>
      </c>
    </row>
    <row r="165" spans="1:18" ht="15">
      <c r="A165" s="247">
        <v>48703</v>
      </c>
      <c r="B165" s="291">
        <v>0</v>
      </c>
      <c r="C165" s="291">
        <v>0.00534412</v>
      </c>
      <c r="D165" s="246"/>
      <c r="E165" s="342">
        <v>0</v>
      </c>
      <c r="F165" s="343">
        <v>0</v>
      </c>
      <c r="G165" s="344"/>
      <c r="H165" s="342">
        <v>0</v>
      </c>
      <c r="I165" s="343">
        <v>0</v>
      </c>
      <c r="J165" s="344"/>
      <c r="K165" s="342">
        <v>0</v>
      </c>
      <c r="L165" s="343">
        <v>0</v>
      </c>
      <c r="M165" s="344"/>
      <c r="N165" s="342">
        <v>0</v>
      </c>
      <c r="O165" s="343">
        <v>0</v>
      </c>
      <c r="P165" s="344"/>
      <c r="Q165" s="342">
        <v>0</v>
      </c>
      <c r="R165" s="343">
        <v>0</v>
      </c>
    </row>
    <row r="166" spans="1:18" ht="15">
      <c r="A166" s="247">
        <v>48734</v>
      </c>
      <c r="B166" s="291">
        <v>0</v>
      </c>
      <c r="C166" s="291">
        <v>0.00530768</v>
      </c>
      <c r="D166" s="246"/>
      <c r="E166" s="342">
        <v>0</v>
      </c>
      <c r="F166" s="343">
        <v>0</v>
      </c>
      <c r="G166" s="344"/>
      <c r="H166" s="342">
        <v>0</v>
      </c>
      <c r="I166" s="343">
        <v>0</v>
      </c>
      <c r="J166" s="344"/>
      <c r="K166" s="342">
        <v>0</v>
      </c>
      <c r="L166" s="343">
        <v>0</v>
      </c>
      <c r="M166" s="344"/>
      <c r="N166" s="342">
        <v>0</v>
      </c>
      <c r="O166" s="343">
        <v>0</v>
      </c>
      <c r="P166" s="344"/>
      <c r="Q166" s="342">
        <v>0</v>
      </c>
      <c r="R166" s="343">
        <v>0</v>
      </c>
    </row>
    <row r="167" spans="1:18" ht="15">
      <c r="A167" s="247">
        <v>48764</v>
      </c>
      <c r="B167" s="291">
        <v>0</v>
      </c>
      <c r="C167" s="291">
        <v>0.00523509</v>
      </c>
      <c r="D167" s="246"/>
      <c r="E167" s="342">
        <v>0</v>
      </c>
      <c r="F167" s="343">
        <v>0</v>
      </c>
      <c r="G167" s="344"/>
      <c r="H167" s="342">
        <v>0</v>
      </c>
      <c r="I167" s="343">
        <v>0</v>
      </c>
      <c r="J167" s="344"/>
      <c r="K167" s="342">
        <v>0</v>
      </c>
      <c r="L167" s="343">
        <v>0</v>
      </c>
      <c r="M167" s="344"/>
      <c r="N167" s="342">
        <v>0</v>
      </c>
      <c r="O167" s="343">
        <v>0</v>
      </c>
      <c r="P167" s="344"/>
      <c r="Q167" s="342">
        <v>0</v>
      </c>
      <c r="R167" s="343">
        <v>0</v>
      </c>
    </row>
    <row r="168" spans="1:18" ht="15">
      <c r="A168" s="247">
        <v>48795</v>
      </c>
      <c r="B168" s="291">
        <v>0</v>
      </c>
      <c r="C168" s="291">
        <v>0.00510681</v>
      </c>
      <c r="D168" s="246"/>
      <c r="E168" s="342">
        <v>0</v>
      </c>
      <c r="F168" s="343">
        <v>0</v>
      </c>
      <c r="G168" s="344"/>
      <c r="H168" s="342">
        <v>0</v>
      </c>
      <c r="I168" s="343">
        <v>0</v>
      </c>
      <c r="J168" s="344"/>
      <c r="K168" s="342">
        <v>0</v>
      </c>
      <c r="L168" s="343">
        <v>0</v>
      </c>
      <c r="M168" s="344"/>
      <c r="N168" s="342">
        <v>0</v>
      </c>
      <c r="O168" s="343">
        <v>0</v>
      </c>
      <c r="P168" s="344"/>
      <c r="Q168" s="342">
        <v>0</v>
      </c>
      <c r="R168" s="343">
        <v>0</v>
      </c>
    </row>
    <row r="169" spans="1:18" ht="15">
      <c r="A169" s="247">
        <v>48826</v>
      </c>
      <c r="B169" s="291">
        <v>0</v>
      </c>
      <c r="C169" s="291">
        <v>0.00503893</v>
      </c>
      <c r="D169" s="246"/>
      <c r="E169" s="342">
        <v>0</v>
      </c>
      <c r="F169" s="343">
        <v>0</v>
      </c>
      <c r="G169" s="344"/>
      <c r="H169" s="342">
        <v>0</v>
      </c>
      <c r="I169" s="343">
        <v>0</v>
      </c>
      <c r="J169" s="344"/>
      <c r="K169" s="342">
        <v>0</v>
      </c>
      <c r="L169" s="343">
        <v>0</v>
      </c>
      <c r="M169" s="344"/>
      <c r="N169" s="342">
        <v>0</v>
      </c>
      <c r="O169" s="343">
        <v>0</v>
      </c>
      <c r="P169" s="344"/>
      <c r="Q169" s="342">
        <v>0</v>
      </c>
      <c r="R169" s="343">
        <v>0</v>
      </c>
    </row>
    <row r="170" spans="1:18" ht="15">
      <c r="A170" s="247">
        <v>48856</v>
      </c>
      <c r="B170" s="291">
        <v>0</v>
      </c>
      <c r="C170" s="291">
        <v>0.00502677</v>
      </c>
      <c r="D170" s="246"/>
      <c r="E170" s="342">
        <v>0</v>
      </c>
      <c r="F170" s="343">
        <v>0</v>
      </c>
      <c r="G170" s="344"/>
      <c r="H170" s="342">
        <v>0</v>
      </c>
      <c r="I170" s="343">
        <v>0</v>
      </c>
      <c r="J170" s="344"/>
      <c r="K170" s="342">
        <v>0</v>
      </c>
      <c r="L170" s="343">
        <v>0</v>
      </c>
      <c r="M170" s="344"/>
      <c r="N170" s="342">
        <v>0</v>
      </c>
      <c r="O170" s="343">
        <v>0</v>
      </c>
      <c r="P170" s="344"/>
      <c r="Q170" s="342">
        <v>0</v>
      </c>
      <c r="R170" s="343">
        <v>0</v>
      </c>
    </row>
    <row r="171" spans="1:18" ht="15">
      <c r="A171" s="247">
        <v>48887</v>
      </c>
      <c r="B171" s="291">
        <v>0</v>
      </c>
      <c r="C171" s="291">
        <v>0.00491198</v>
      </c>
      <c r="D171" s="246"/>
      <c r="E171" s="342">
        <v>0</v>
      </c>
      <c r="F171" s="343">
        <v>0</v>
      </c>
      <c r="G171" s="344"/>
      <c r="H171" s="342">
        <v>0</v>
      </c>
      <c r="I171" s="343">
        <v>0</v>
      </c>
      <c r="J171" s="344"/>
      <c r="K171" s="342">
        <v>0</v>
      </c>
      <c r="L171" s="343">
        <v>0</v>
      </c>
      <c r="M171" s="344"/>
      <c r="N171" s="342">
        <v>0</v>
      </c>
      <c r="O171" s="343">
        <v>0</v>
      </c>
      <c r="P171" s="344"/>
      <c r="Q171" s="342">
        <v>0</v>
      </c>
      <c r="R171" s="343">
        <v>0</v>
      </c>
    </row>
    <row r="172" spans="1:18" ht="15">
      <c r="A172" s="247">
        <v>48917</v>
      </c>
      <c r="B172" s="291">
        <v>0</v>
      </c>
      <c r="C172" s="291">
        <v>0.00481612</v>
      </c>
      <c r="D172" s="246"/>
      <c r="E172" s="342">
        <v>0</v>
      </c>
      <c r="F172" s="343">
        <v>0</v>
      </c>
      <c r="G172" s="344"/>
      <c r="H172" s="342">
        <v>0</v>
      </c>
      <c r="I172" s="343">
        <v>0</v>
      </c>
      <c r="J172" s="344"/>
      <c r="K172" s="342">
        <v>0</v>
      </c>
      <c r="L172" s="343">
        <v>0</v>
      </c>
      <c r="M172" s="344"/>
      <c r="N172" s="342">
        <v>0</v>
      </c>
      <c r="O172" s="343">
        <v>0</v>
      </c>
      <c r="P172" s="344"/>
      <c r="Q172" s="342">
        <v>0</v>
      </c>
      <c r="R172" s="343">
        <v>0</v>
      </c>
    </row>
    <row r="173" spans="1:18" ht="15">
      <c r="A173" s="247">
        <v>48948</v>
      </c>
      <c r="B173" s="291">
        <v>0</v>
      </c>
      <c r="C173" s="291">
        <v>0</v>
      </c>
      <c r="D173" s="246"/>
      <c r="E173" s="342">
        <v>0</v>
      </c>
      <c r="F173" s="343">
        <v>0</v>
      </c>
      <c r="G173" s="344"/>
      <c r="H173" s="342">
        <v>0</v>
      </c>
      <c r="I173" s="343">
        <v>0</v>
      </c>
      <c r="J173" s="344"/>
      <c r="K173" s="342">
        <v>0</v>
      </c>
      <c r="L173" s="343">
        <v>0</v>
      </c>
      <c r="M173" s="344"/>
      <c r="N173" s="342">
        <v>0</v>
      </c>
      <c r="O173" s="343">
        <v>0</v>
      </c>
      <c r="P173" s="344"/>
      <c r="Q173" s="342">
        <v>0</v>
      </c>
      <c r="R173" s="343">
        <v>0</v>
      </c>
    </row>
    <row r="174" spans="1:18" ht="15">
      <c r="A174" s="247">
        <v>48979</v>
      </c>
      <c r="B174" s="291">
        <v>0</v>
      </c>
      <c r="C174" s="291">
        <v>0</v>
      </c>
      <c r="D174" s="246"/>
      <c r="E174" s="342">
        <v>0</v>
      </c>
      <c r="F174" s="343">
        <v>0</v>
      </c>
      <c r="G174" s="344"/>
      <c r="H174" s="342">
        <v>0</v>
      </c>
      <c r="I174" s="343">
        <v>0</v>
      </c>
      <c r="J174" s="344"/>
      <c r="K174" s="342">
        <v>0</v>
      </c>
      <c r="L174" s="343">
        <v>0</v>
      </c>
      <c r="M174" s="344"/>
      <c r="N174" s="342">
        <v>0</v>
      </c>
      <c r="O174" s="343">
        <v>0</v>
      </c>
      <c r="P174" s="344"/>
      <c r="Q174" s="342">
        <v>0</v>
      </c>
      <c r="R174" s="343">
        <v>0</v>
      </c>
    </row>
    <row r="175" spans="1:18" ht="15">
      <c r="A175" s="247">
        <v>49007</v>
      </c>
      <c r="B175" s="291">
        <v>0</v>
      </c>
      <c r="C175" s="291">
        <v>0</v>
      </c>
      <c r="D175" s="246"/>
      <c r="E175" s="342">
        <v>0</v>
      </c>
      <c r="F175" s="343">
        <v>0</v>
      </c>
      <c r="G175" s="344"/>
      <c r="H175" s="342">
        <v>0</v>
      </c>
      <c r="I175" s="343">
        <v>0</v>
      </c>
      <c r="J175" s="344"/>
      <c r="K175" s="342">
        <v>0</v>
      </c>
      <c r="L175" s="343">
        <v>0</v>
      </c>
      <c r="M175" s="344"/>
      <c r="N175" s="342">
        <v>0</v>
      </c>
      <c r="O175" s="343">
        <v>0</v>
      </c>
      <c r="P175" s="344"/>
      <c r="Q175" s="342">
        <v>0</v>
      </c>
      <c r="R175" s="343">
        <v>0</v>
      </c>
    </row>
    <row r="176" spans="1:18" ht="15">
      <c r="A176" s="247">
        <v>49038</v>
      </c>
      <c r="B176" s="291">
        <v>0</v>
      </c>
      <c r="C176" s="291">
        <v>0</v>
      </c>
      <c r="D176" s="246"/>
      <c r="E176" s="342">
        <v>0</v>
      </c>
      <c r="F176" s="343">
        <v>0</v>
      </c>
      <c r="G176" s="344"/>
      <c r="H176" s="342">
        <v>0</v>
      </c>
      <c r="I176" s="343">
        <v>0</v>
      </c>
      <c r="J176" s="344"/>
      <c r="K176" s="342">
        <v>0</v>
      </c>
      <c r="L176" s="343">
        <v>0</v>
      </c>
      <c r="M176" s="344"/>
      <c r="N176" s="342">
        <v>0</v>
      </c>
      <c r="O176" s="343">
        <v>0</v>
      </c>
      <c r="P176" s="344"/>
      <c r="Q176" s="342">
        <v>0</v>
      </c>
      <c r="R176" s="343">
        <v>0</v>
      </c>
    </row>
    <row r="177" spans="1:18" ht="15">
      <c r="A177" s="247">
        <v>49068</v>
      </c>
      <c r="B177" s="291">
        <v>0</v>
      </c>
      <c r="C177" s="291">
        <v>0</v>
      </c>
      <c r="D177" s="246"/>
      <c r="E177" s="342">
        <v>0</v>
      </c>
      <c r="F177" s="343">
        <v>0</v>
      </c>
      <c r="G177" s="344"/>
      <c r="H177" s="342">
        <v>0</v>
      </c>
      <c r="I177" s="343">
        <v>0</v>
      </c>
      <c r="J177" s="344"/>
      <c r="K177" s="342">
        <v>0</v>
      </c>
      <c r="L177" s="343">
        <v>0</v>
      </c>
      <c r="M177" s="344"/>
      <c r="N177" s="342">
        <v>0</v>
      </c>
      <c r="O177" s="343">
        <v>0</v>
      </c>
      <c r="P177" s="344"/>
      <c r="Q177" s="342">
        <v>0</v>
      </c>
      <c r="R177" s="343">
        <v>0</v>
      </c>
    </row>
    <row r="178" spans="1:18" ht="15">
      <c r="A178" s="247">
        <v>49099</v>
      </c>
      <c r="B178" s="291">
        <v>0</v>
      </c>
      <c r="C178" s="291">
        <v>0</v>
      </c>
      <c r="D178" s="246"/>
      <c r="E178" s="342">
        <v>0</v>
      </c>
      <c r="F178" s="343">
        <v>0</v>
      </c>
      <c r="G178" s="344"/>
      <c r="H178" s="342">
        <v>0</v>
      </c>
      <c r="I178" s="343">
        <v>0</v>
      </c>
      <c r="J178" s="344"/>
      <c r="K178" s="342">
        <v>0</v>
      </c>
      <c r="L178" s="343">
        <v>0</v>
      </c>
      <c r="M178" s="344"/>
      <c r="N178" s="342">
        <v>0</v>
      </c>
      <c r="O178" s="343">
        <v>0</v>
      </c>
      <c r="P178" s="344"/>
      <c r="Q178" s="342">
        <v>0</v>
      </c>
      <c r="R178" s="343">
        <v>0</v>
      </c>
    </row>
    <row r="179" spans="1:18" ht="15">
      <c r="A179" s="247">
        <v>49129</v>
      </c>
      <c r="B179" s="291">
        <v>0</v>
      </c>
      <c r="C179" s="291">
        <v>0</v>
      </c>
      <c r="D179" s="246"/>
      <c r="E179" s="342">
        <v>0</v>
      </c>
      <c r="F179" s="343">
        <v>0</v>
      </c>
      <c r="G179" s="344"/>
      <c r="H179" s="342">
        <v>0</v>
      </c>
      <c r="I179" s="343">
        <v>0</v>
      </c>
      <c r="J179" s="344"/>
      <c r="K179" s="342">
        <v>0</v>
      </c>
      <c r="L179" s="343">
        <v>0</v>
      </c>
      <c r="M179" s="344"/>
      <c r="N179" s="342">
        <v>0</v>
      </c>
      <c r="O179" s="343">
        <v>0</v>
      </c>
      <c r="P179" s="344"/>
      <c r="Q179" s="342">
        <v>0</v>
      </c>
      <c r="R179" s="343">
        <v>0</v>
      </c>
    </row>
    <row r="180" spans="1:18" ht="15">
      <c r="A180" s="247">
        <v>49160</v>
      </c>
      <c r="B180" s="291">
        <v>0</v>
      </c>
      <c r="C180" s="291">
        <v>0</v>
      </c>
      <c r="D180" s="246"/>
      <c r="E180" s="342">
        <v>0</v>
      </c>
      <c r="F180" s="343">
        <v>0</v>
      </c>
      <c r="G180" s="344"/>
      <c r="H180" s="342">
        <v>0</v>
      </c>
      <c r="I180" s="343">
        <v>0</v>
      </c>
      <c r="J180" s="344"/>
      <c r="K180" s="342">
        <v>0</v>
      </c>
      <c r="L180" s="343">
        <v>0</v>
      </c>
      <c r="M180" s="344"/>
      <c r="N180" s="342">
        <v>0</v>
      </c>
      <c r="O180" s="343">
        <v>0</v>
      </c>
      <c r="P180" s="344"/>
      <c r="Q180" s="342">
        <v>0</v>
      </c>
      <c r="R180" s="343">
        <v>0</v>
      </c>
    </row>
    <row r="181" spans="1:18" ht="15">
      <c r="A181" s="247">
        <v>49191</v>
      </c>
      <c r="B181" s="291">
        <v>0</v>
      </c>
      <c r="C181" s="291">
        <v>0</v>
      </c>
      <c r="D181" s="246"/>
      <c r="E181" s="342">
        <v>0</v>
      </c>
      <c r="F181" s="343">
        <v>0</v>
      </c>
      <c r="G181" s="344"/>
      <c r="H181" s="342">
        <v>0</v>
      </c>
      <c r="I181" s="343">
        <v>0</v>
      </c>
      <c r="J181" s="344"/>
      <c r="K181" s="342">
        <v>0</v>
      </c>
      <c r="L181" s="343">
        <v>0</v>
      </c>
      <c r="M181" s="344"/>
      <c r="N181" s="342">
        <v>0</v>
      </c>
      <c r="O181" s="343">
        <v>0</v>
      </c>
      <c r="P181" s="344"/>
      <c r="Q181" s="342">
        <v>0</v>
      </c>
      <c r="R181" s="343">
        <v>0</v>
      </c>
    </row>
    <row r="182" spans="1:18" ht="15.75" thickBot="1">
      <c r="A182" s="247">
        <v>49221</v>
      </c>
      <c r="B182" s="292">
        <v>0</v>
      </c>
      <c r="C182" s="292">
        <v>0.16597546</v>
      </c>
      <c r="D182" s="246"/>
      <c r="E182" s="317">
        <v>0</v>
      </c>
      <c r="F182" s="318">
        <v>0</v>
      </c>
      <c r="G182" s="344"/>
      <c r="H182" s="317">
        <v>0</v>
      </c>
      <c r="I182" s="318">
        <v>0</v>
      </c>
      <c r="J182" s="344"/>
      <c r="K182" s="317">
        <v>0</v>
      </c>
      <c r="L182" s="318">
        <v>0</v>
      </c>
      <c r="M182" s="344"/>
      <c r="N182" s="317">
        <v>0</v>
      </c>
      <c r="O182" s="318">
        <v>0</v>
      </c>
      <c r="P182" s="344"/>
      <c r="Q182" s="317">
        <v>0</v>
      </c>
      <c r="R182" s="318">
        <v>0</v>
      </c>
    </row>
    <row r="183" spans="1:19" s="246" customFormat="1" ht="15.75" customHeight="1">
      <c r="A183" s="241"/>
      <c r="B183" s="246">
        <f>SUM(B3:B182)</f>
        <v>1</v>
      </c>
      <c r="C183" s="246">
        <f>SUM(C3:C182)</f>
        <v>0.9999999999999998</v>
      </c>
      <c r="E183" s="246">
        <f>SUM(E3:E182)</f>
        <v>1</v>
      </c>
      <c r="F183" s="246">
        <f>SUM(F3:F182)</f>
        <v>0.9999999999999996</v>
      </c>
      <c r="G183" s="241"/>
      <c r="H183" s="246">
        <f>SUM(H3:H182)</f>
        <v>1</v>
      </c>
      <c r="I183" s="246">
        <f>SUM(I3:I182)</f>
        <v>1</v>
      </c>
      <c r="J183" s="241"/>
      <c r="K183" s="246">
        <f>SUM(K3:K182)</f>
        <v>1</v>
      </c>
      <c r="L183" s="246">
        <f>SUM(L3:L182)</f>
        <v>0.9999999999999997</v>
      </c>
      <c r="M183" s="241"/>
      <c r="N183" s="246">
        <f>SUM(N3:N182)</f>
        <v>1</v>
      </c>
      <c r="O183" s="246">
        <f>SUM(O3:O182)</f>
        <v>0.9999999999999997</v>
      </c>
      <c r="P183" s="241"/>
      <c r="Q183" s="246">
        <f>SUM(Q3:Q182)</f>
        <v>1</v>
      </c>
      <c r="R183" s="246">
        <f>SUM(R3:R182)</f>
        <v>0.9999999999999996</v>
      </c>
      <c r="S183" s="241"/>
    </row>
    <row r="184" spans="2:18" ht="12.75">
      <c r="B184" s="246">
        <f>1-B183</f>
        <v>0</v>
      </c>
      <c r="C184" s="246">
        <v>0</v>
      </c>
      <c r="D184" s="246"/>
      <c r="E184" s="246">
        <v>0</v>
      </c>
      <c r="F184" s="246">
        <v>0</v>
      </c>
      <c r="H184" s="246">
        <f>1-H183</f>
        <v>0</v>
      </c>
      <c r="I184" s="246">
        <f>1-I183</f>
        <v>0</v>
      </c>
      <c r="K184" s="246">
        <f>1-K183</f>
        <v>0</v>
      </c>
      <c r="L184" s="246">
        <f>1-L183</f>
        <v>0</v>
      </c>
      <c r="N184" s="246">
        <f>1-N183</f>
        <v>0</v>
      </c>
      <c r="O184" s="246">
        <f>1-O183</f>
        <v>0</v>
      </c>
      <c r="Q184" s="246">
        <f>1-Q183</f>
        <v>0</v>
      </c>
      <c r="R184" s="246">
        <f>1-R183</f>
        <v>0</v>
      </c>
    </row>
    <row r="185" spans="2:17" ht="12.75">
      <c r="B185" s="246"/>
      <c r="C185" s="248"/>
      <c r="E185" s="246"/>
      <c r="H185" s="246"/>
      <c r="K185" s="246"/>
      <c r="N185" s="246"/>
      <c r="Q185" s="246"/>
    </row>
  </sheetData>
  <sheetProtection password="C5F9" sheet="1" objects="1" scenarios="1"/>
  <mergeCells count="7">
    <mergeCell ref="N1:O1"/>
    <mergeCell ref="B1:C1"/>
    <mergeCell ref="Q1:R1"/>
    <mergeCell ref="A1:A2"/>
    <mergeCell ref="E1:F1"/>
    <mergeCell ref="H1:I1"/>
    <mergeCell ref="K1:L1"/>
  </mergeCells>
  <conditionalFormatting sqref="B183:C183 E183:F183 H183:I183 K183:L183 N183:O183 Q183:R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C181"/>
  <sheetViews>
    <sheetView zoomScale="75" zoomScaleNormal="75" zoomScalePageLayoutView="0" workbookViewId="0" topLeftCell="A1">
      <selection activeCell="B8" sqref="B8"/>
    </sheetView>
  </sheetViews>
  <sheetFormatPr defaultColWidth="11.421875" defaultRowHeight="12.75"/>
  <cols>
    <col min="1" max="1" width="11.57421875" style="113" bestFit="1" customWidth="1"/>
    <col min="2" max="3" width="24.00390625" style="113" bestFit="1" customWidth="1"/>
    <col min="4" max="16384" width="11.421875" style="113" customWidth="1"/>
  </cols>
  <sheetData>
    <row r="1" spans="1:3" ht="13.5" thickBot="1">
      <c r="A1" s="110" t="s">
        <v>0</v>
      </c>
      <c r="B1" s="111" t="str">
        <f>+Características!$B$1</f>
        <v>TIPS Pesos N-20 A 2024</v>
      </c>
      <c r="C1" s="112" t="str">
        <f>+Características!$C$1</f>
        <v>TIPS Pesos N-20 A 2034</v>
      </c>
    </row>
    <row r="2" spans="1:3" ht="12.75">
      <c r="A2" s="114">
        <f>+'Tabla de Amortizacion'!A3</f>
        <v>43773</v>
      </c>
      <c r="B2" s="115">
        <f>IF('CALCULADORA TIPS Pesos N-20'!$F$10="Contractual",ROUND('Tabla de Amortizacion'!B3,8),IF('CALCULADORA TIPS Pesos N-20'!$F$10="6% (Medio)",ROUND('Tabla de Amortizacion'!E3,8),IF('CALCULADORA TIPS Pesos N-20'!$F$10="10% (Medio Alto)",ROUND('Tabla de Amortizacion'!H3,8),IF('CALCULADORA TIPS Pesos N-20'!$F$10="14% (Alto)",ROUND('Tabla de Amortizacion'!K3,8),IF('CALCULADORA TIPS Pesos N-20'!$F$10=20%,ROUND('Tabla de Amortizacion'!N3,8),ROUND('Tabla de Amortizacion'!Q3,8))))))</f>
        <v>0.05083739</v>
      </c>
      <c r="C2" s="115">
        <f>IF('CALCULADORA TIPS Pesos N-20'!$F$10="Contractual",ROUND('Tabla de Amortizacion'!C3,8),IF('CALCULADORA TIPS Pesos N-20'!$F$10="6% (Medio)",ROUND('Tabla de Amortizacion'!F3,8),IF('CALCULADORA TIPS Pesos N-20'!$F$10="10% (Medio Alto)",ROUND('Tabla de Amortizacion'!I3,8),IF('CALCULADORA TIPS Pesos N-20'!$F$10="14% (Alto)",ROUND('Tabla de Amortizacion'!L3,8),IF('CALCULADORA TIPS Pesos N-20'!$F$10=20%,ROUND('Tabla de Amortizacion'!O3,8),ROUND('Tabla de Amortizacion'!R3,8))))))</f>
        <v>0</v>
      </c>
    </row>
    <row r="3" spans="1:3" ht="12.75">
      <c r="A3" s="116">
        <f aca="true" t="shared" si="0" ref="A3:A34">_XLL.FECHA.MES(A2,1)</f>
        <v>43803</v>
      </c>
      <c r="B3" s="117">
        <f>IF('CALCULADORA TIPS Pesos N-20'!$F$10="Contractual",ROUND('Tabla de Amortizacion'!B4,8),IF('CALCULADORA TIPS Pesos N-20'!$F$10="6% (Medio)",ROUND('Tabla de Amortizacion'!E4,8),IF('CALCULADORA TIPS Pesos N-20'!$F$10="10% (Medio Alto)",ROUND('Tabla de Amortizacion'!H4,8),IF('CALCULADORA TIPS Pesos N-20'!$F$10="14% (Alto)",ROUND('Tabla de Amortizacion'!K4,8),IF('CALCULADORA TIPS Pesos N-20'!$F$10=20%,ROUND('Tabla de Amortizacion'!N4,8),ROUND('Tabla de Amortizacion'!Q4,8))))))</f>
        <v>0.07290106</v>
      </c>
      <c r="C3" s="117">
        <f>IF('CALCULADORA TIPS Pesos N-20'!$F$10="Contractual",ROUND('Tabla de Amortizacion'!C4,8),IF('CALCULADORA TIPS Pesos N-20'!$F$10="6% (Medio)",ROUND('Tabla de Amortizacion'!F4,8),IF('CALCULADORA TIPS Pesos N-20'!$F$10="10% (Medio Alto)",ROUND('Tabla de Amortizacion'!I4,8),IF('CALCULADORA TIPS Pesos N-20'!$F$10="14% (Alto)",ROUND('Tabla de Amortizacion'!L4,8),IF('CALCULADORA TIPS Pesos N-20'!$F$10=20%,ROUND('Tabla de Amortizacion'!O4,8),ROUND('Tabla de Amortizacion'!R4,8))))))</f>
        <v>0</v>
      </c>
    </row>
    <row r="4" spans="1:3" ht="12.75">
      <c r="A4" s="116">
        <f t="shared" si="0"/>
        <v>43834</v>
      </c>
      <c r="B4" s="117">
        <f>IF('CALCULADORA TIPS Pesos N-20'!$F$10="Contractual",ROUND('Tabla de Amortizacion'!B5,8),IF('CALCULADORA TIPS Pesos N-20'!$F$10="6% (Medio)",ROUND('Tabla de Amortizacion'!E5,8),IF('CALCULADORA TIPS Pesos N-20'!$F$10="10% (Medio Alto)",ROUND('Tabla de Amortizacion'!H5,8),IF('CALCULADORA TIPS Pesos N-20'!$F$10="14% (Alto)",ROUND('Tabla de Amortizacion'!K5,8),IF('CALCULADORA TIPS Pesos N-20'!$F$10=20%,ROUND('Tabla de Amortizacion'!N5,8),ROUND('Tabla de Amortizacion'!Q5,8))))))</f>
        <v>0.06382194</v>
      </c>
      <c r="C4" s="117">
        <f>IF('CALCULADORA TIPS Pesos N-20'!$F$10="Contractual",ROUND('Tabla de Amortizacion'!C5,8),IF('CALCULADORA TIPS Pesos N-20'!$F$10="6% (Medio)",ROUND('Tabla de Amortizacion'!F5,8),IF('CALCULADORA TIPS Pesos N-20'!$F$10="10% (Medio Alto)",ROUND('Tabla de Amortizacion'!I5,8),IF('CALCULADORA TIPS Pesos N-20'!$F$10="14% (Alto)",ROUND('Tabla de Amortizacion'!L5,8),IF('CALCULADORA TIPS Pesos N-20'!$F$10=20%,ROUND('Tabla de Amortizacion'!O5,8),ROUND('Tabla de Amortizacion'!R5,8))))))</f>
        <v>0</v>
      </c>
    </row>
    <row r="5" spans="1:3" ht="12.75">
      <c r="A5" s="116">
        <f t="shared" si="0"/>
        <v>43865</v>
      </c>
      <c r="B5" s="117">
        <f>IF('CALCULADORA TIPS Pesos N-20'!$F$10="Contractual",ROUND('Tabla de Amortizacion'!B6,8),IF('CALCULADORA TIPS Pesos N-20'!$F$10="6% (Medio)",ROUND('Tabla de Amortizacion'!E6,8),IF('CALCULADORA TIPS Pesos N-20'!$F$10="10% (Medio Alto)",ROUND('Tabla de Amortizacion'!H6,8),IF('CALCULADORA TIPS Pesos N-20'!$F$10="14% (Alto)",ROUND('Tabla de Amortizacion'!K6,8),IF('CALCULADORA TIPS Pesos N-20'!$F$10=20%,ROUND('Tabla de Amortizacion'!N6,8),ROUND('Tabla de Amortizacion'!Q6,8))))))</f>
        <v>0.06359946</v>
      </c>
      <c r="C5" s="117">
        <f>IF('CALCULADORA TIPS Pesos N-20'!$F$10="Contractual",ROUND('Tabla de Amortizacion'!C6,8),IF('CALCULADORA TIPS Pesos N-20'!$F$10="6% (Medio)",ROUND('Tabla de Amortizacion'!F6,8),IF('CALCULADORA TIPS Pesos N-20'!$F$10="10% (Medio Alto)",ROUND('Tabla de Amortizacion'!I6,8),IF('CALCULADORA TIPS Pesos N-20'!$F$10="14% (Alto)",ROUND('Tabla de Amortizacion'!L6,8),IF('CALCULADORA TIPS Pesos N-20'!$F$10=20%,ROUND('Tabla de Amortizacion'!O6,8),ROUND('Tabla de Amortizacion'!R6,8))))))</f>
        <v>0</v>
      </c>
    </row>
    <row r="6" spans="1:3" ht="12.75">
      <c r="A6" s="116">
        <f t="shared" si="0"/>
        <v>43894</v>
      </c>
      <c r="B6" s="117">
        <f>IF('CALCULADORA TIPS Pesos N-20'!$F$10="Contractual",ROUND('Tabla de Amortizacion'!B7,8),IF('CALCULADORA TIPS Pesos N-20'!$F$10="6% (Medio)",ROUND('Tabla de Amortizacion'!E7,8),IF('CALCULADORA TIPS Pesos N-20'!$F$10="10% (Medio Alto)",ROUND('Tabla de Amortizacion'!H7,8),IF('CALCULADORA TIPS Pesos N-20'!$F$10="14% (Alto)",ROUND('Tabla de Amortizacion'!K7,8),IF('CALCULADORA TIPS Pesos N-20'!$F$10=20%,ROUND('Tabla de Amortizacion'!N7,8),ROUND('Tabla de Amortizacion'!Q7,8))))))</f>
        <v>0.08231951</v>
      </c>
      <c r="C6" s="117">
        <f>IF('CALCULADORA TIPS Pesos N-20'!$F$10="Contractual",ROUND('Tabla de Amortizacion'!C7,8),IF('CALCULADORA TIPS Pesos N-20'!$F$10="6% (Medio)",ROUND('Tabla de Amortizacion'!F7,8),IF('CALCULADORA TIPS Pesos N-20'!$F$10="10% (Medio Alto)",ROUND('Tabla de Amortizacion'!I7,8),IF('CALCULADORA TIPS Pesos N-20'!$F$10="14% (Alto)",ROUND('Tabla de Amortizacion'!L7,8),IF('CALCULADORA TIPS Pesos N-20'!$F$10=20%,ROUND('Tabla de Amortizacion'!O7,8),ROUND('Tabla de Amortizacion'!R7,8))))))</f>
        <v>0</v>
      </c>
    </row>
    <row r="7" spans="1:3" ht="12.75">
      <c r="A7" s="116">
        <f t="shared" si="0"/>
        <v>43925</v>
      </c>
      <c r="B7" s="117">
        <f>IF('CALCULADORA TIPS Pesos N-20'!$F$10="Contractual",ROUND('Tabla de Amortizacion'!B8,8),IF('CALCULADORA TIPS Pesos N-20'!$F$10="6% (Medio)",ROUND('Tabla de Amortizacion'!E8,8),IF('CALCULADORA TIPS Pesos N-20'!$F$10="10% (Medio Alto)",ROUND('Tabla de Amortizacion'!H8,8),IF('CALCULADORA TIPS Pesos N-20'!$F$10="14% (Alto)",ROUND('Tabla de Amortizacion'!K8,8),IF('CALCULADORA TIPS Pesos N-20'!$F$10=20%,ROUND('Tabla de Amortizacion'!N8,8),ROUND('Tabla de Amortizacion'!Q8,8))))))</f>
        <v>0.0566328</v>
      </c>
      <c r="C7" s="117">
        <f>IF('CALCULADORA TIPS Pesos N-20'!$F$10="Contractual",ROUND('Tabla de Amortizacion'!C8,8),IF('CALCULADORA TIPS Pesos N-20'!$F$10="6% (Medio)",ROUND('Tabla de Amortizacion'!F8,8),IF('CALCULADORA TIPS Pesos N-20'!$F$10="10% (Medio Alto)",ROUND('Tabla de Amortizacion'!I8,8),IF('CALCULADORA TIPS Pesos N-20'!$F$10="14% (Alto)",ROUND('Tabla de Amortizacion'!L8,8),IF('CALCULADORA TIPS Pesos N-20'!$F$10=20%,ROUND('Tabla de Amortizacion'!O8,8),ROUND('Tabla de Amortizacion'!R8,8))))))</f>
        <v>0</v>
      </c>
    </row>
    <row r="8" spans="1:3" ht="12.75">
      <c r="A8" s="116">
        <f t="shared" si="0"/>
        <v>43955</v>
      </c>
      <c r="B8" s="117">
        <f>IF('CALCULADORA TIPS Pesos N-20'!$F$10="Contractual",ROUND('Tabla de Amortizacion'!B9,8),IF('CALCULADORA TIPS Pesos N-20'!$F$10="6% (Medio)",ROUND('Tabla de Amortizacion'!E9,8),IF('CALCULADORA TIPS Pesos N-20'!$F$10="10% (Medio Alto)",ROUND('Tabla de Amortizacion'!H9,8),IF('CALCULADORA TIPS Pesos N-20'!$F$10="14% (Alto)",ROUND('Tabla de Amortizacion'!K9,8),IF('CALCULADORA TIPS Pesos N-20'!$F$10=20%,ROUND('Tabla de Amortizacion'!N9,8),ROUND('Tabla de Amortizacion'!Q9,8))))))</f>
        <v>0.00264736</v>
      </c>
      <c r="C8" s="117">
        <f>IF('CALCULADORA TIPS Pesos N-20'!$F$10="Contractual",ROUND('Tabla de Amortizacion'!C9,8),IF('CALCULADORA TIPS Pesos N-20'!$F$10="6% (Medio)",ROUND('Tabla de Amortizacion'!F9,8),IF('CALCULADORA TIPS Pesos N-20'!$F$10="10% (Medio Alto)",ROUND('Tabla de Amortizacion'!I9,8),IF('CALCULADORA TIPS Pesos N-20'!$F$10="14% (Alto)",ROUND('Tabla de Amortizacion'!L9,8),IF('CALCULADORA TIPS Pesos N-20'!$F$10=20%,ROUND('Tabla de Amortizacion'!O9,8),ROUND('Tabla de Amortizacion'!R9,8))))))</f>
        <v>0</v>
      </c>
    </row>
    <row r="9" spans="1:3" ht="12.75">
      <c r="A9" s="116">
        <f t="shared" si="0"/>
        <v>43986</v>
      </c>
      <c r="B9" s="117">
        <f>IF('CALCULADORA TIPS Pesos N-20'!$F$10="Contractual",ROUND('Tabla de Amortizacion'!B10,8),IF('CALCULADORA TIPS Pesos N-20'!$F$10="6% (Medio)",ROUND('Tabla de Amortizacion'!E10,8),IF('CALCULADORA TIPS Pesos N-20'!$F$10="10% (Medio Alto)",ROUND('Tabla de Amortizacion'!H10,8),IF('CALCULADORA TIPS Pesos N-20'!$F$10="14% (Alto)",ROUND('Tabla de Amortizacion'!K10,8),IF('CALCULADORA TIPS Pesos N-20'!$F$10=20%,ROUND('Tabla de Amortizacion'!N10,8),ROUND('Tabla de Amortizacion'!Q10,8))))))</f>
        <v>0.02133104</v>
      </c>
      <c r="C9" s="117">
        <f>IF('CALCULADORA TIPS Pesos N-20'!$F$10="Contractual",ROUND('Tabla de Amortizacion'!C10,8),IF('CALCULADORA TIPS Pesos N-20'!$F$10="6% (Medio)",ROUND('Tabla de Amortizacion'!F10,8),IF('CALCULADORA TIPS Pesos N-20'!$F$10="10% (Medio Alto)",ROUND('Tabla de Amortizacion'!I10,8),IF('CALCULADORA TIPS Pesos N-20'!$F$10="14% (Alto)",ROUND('Tabla de Amortizacion'!L10,8),IF('CALCULADORA TIPS Pesos N-20'!$F$10=20%,ROUND('Tabla de Amortizacion'!O10,8),ROUND('Tabla de Amortizacion'!R10,8))))))</f>
        <v>0</v>
      </c>
    </row>
    <row r="10" spans="1:3" ht="12.75">
      <c r="A10" s="116">
        <f t="shared" si="0"/>
        <v>44016</v>
      </c>
      <c r="B10" s="117">
        <f>IF('CALCULADORA TIPS Pesos N-20'!$F$10="Contractual",ROUND('Tabla de Amortizacion'!B11,8),IF('CALCULADORA TIPS Pesos N-20'!$F$10="6% (Medio)",ROUND('Tabla de Amortizacion'!E11,8),IF('CALCULADORA TIPS Pesos N-20'!$F$10="10% (Medio Alto)",ROUND('Tabla de Amortizacion'!H11,8),IF('CALCULADORA TIPS Pesos N-20'!$F$10="14% (Alto)",ROUND('Tabla de Amortizacion'!K11,8),IF('CALCULADORA TIPS Pesos N-20'!$F$10=20%,ROUND('Tabla de Amortizacion'!N11,8),ROUND('Tabla de Amortizacion'!Q11,8))))))</f>
        <v>0.02602374</v>
      </c>
      <c r="C10" s="117">
        <f>IF('CALCULADORA TIPS Pesos N-20'!$F$10="Contractual",ROUND('Tabla de Amortizacion'!C11,8),IF('CALCULADORA TIPS Pesos N-20'!$F$10="6% (Medio)",ROUND('Tabla de Amortizacion'!F11,8),IF('CALCULADORA TIPS Pesos N-20'!$F$10="10% (Medio Alto)",ROUND('Tabla de Amortizacion'!I11,8),IF('CALCULADORA TIPS Pesos N-20'!$F$10="14% (Alto)",ROUND('Tabla de Amortizacion'!L11,8),IF('CALCULADORA TIPS Pesos N-20'!$F$10=20%,ROUND('Tabla de Amortizacion'!O11,8),ROUND('Tabla de Amortizacion'!R11,8))))))</f>
        <v>0</v>
      </c>
    </row>
    <row r="11" spans="1:3" ht="12.75">
      <c r="A11" s="116">
        <f t="shared" si="0"/>
        <v>44047</v>
      </c>
      <c r="B11" s="117">
        <f>IF('CALCULADORA TIPS Pesos N-20'!$F$10="Contractual",ROUND('Tabla de Amortizacion'!B12,8),IF('CALCULADORA TIPS Pesos N-20'!$F$10="6% (Medio)",ROUND('Tabla de Amortizacion'!E12,8),IF('CALCULADORA TIPS Pesos N-20'!$F$10="10% (Medio Alto)",ROUND('Tabla de Amortizacion'!H12,8),IF('CALCULADORA TIPS Pesos N-20'!$F$10="14% (Alto)",ROUND('Tabla de Amortizacion'!K12,8),IF('CALCULADORA TIPS Pesos N-20'!$F$10=20%,ROUND('Tabla de Amortizacion'!N12,8),ROUND('Tabla de Amortizacion'!Q12,8))))))</f>
        <v>0.03135397</v>
      </c>
      <c r="C11" s="117">
        <f>IF('CALCULADORA TIPS Pesos N-20'!$F$10="Contractual",ROUND('Tabla de Amortizacion'!C12,8),IF('CALCULADORA TIPS Pesos N-20'!$F$10="6% (Medio)",ROUND('Tabla de Amortizacion'!F12,8),IF('CALCULADORA TIPS Pesos N-20'!$F$10="10% (Medio Alto)",ROUND('Tabla de Amortizacion'!I12,8),IF('CALCULADORA TIPS Pesos N-20'!$F$10="14% (Alto)",ROUND('Tabla de Amortizacion'!L12,8),IF('CALCULADORA TIPS Pesos N-20'!$F$10=20%,ROUND('Tabla de Amortizacion'!O12,8),ROUND('Tabla de Amortizacion'!R12,8))))))</f>
        <v>0</v>
      </c>
    </row>
    <row r="12" spans="1:3" ht="12.75">
      <c r="A12" s="116">
        <f t="shared" si="0"/>
        <v>44078</v>
      </c>
      <c r="B12" s="117">
        <f>IF('CALCULADORA TIPS Pesos N-20'!$F$10="Contractual",ROUND('Tabla de Amortizacion'!B13,8),IF('CALCULADORA TIPS Pesos N-20'!$F$10="6% (Medio)",ROUND('Tabla de Amortizacion'!E13,8),IF('CALCULADORA TIPS Pesos N-20'!$F$10="10% (Medio Alto)",ROUND('Tabla de Amortizacion'!H13,8),IF('CALCULADORA TIPS Pesos N-20'!$F$10="14% (Alto)",ROUND('Tabla de Amortizacion'!K13,8),IF('CALCULADORA TIPS Pesos N-20'!$F$10=20%,ROUND('Tabla de Amortizacion'!N13,8),ROUND('Tabla de Amortizacion'!Q13,8))))))</f>
        <v>0.04271421</v>
      </c>
      <c r="C12" s="117">
        <f>IF('CALCULADORA TIPS Pesos N-20'!$F$10="Contractual",ROUND('Tabla de Amortizacion'!C13,8),IF('CALCULADORA TIPS Pesos N-20'!$F$10="6% (Medio)",ROUND('Tabla de Amortizacion'!F13,8),IF('CALCULADORA TIPS Pesos N-20'!$F$10="10% (Medio Alto)",ROUND('Tabla de Amortizacion'!I13,8),IF('CALCULADORA TIPS Pesos N-20'!$F$10="14% (Alto)",ROUND('Tabla de Amortizacion'!L13,8),IF('CALCULADORA TIPS Pesos N-20'!$F$10=20%,ROUND('Tabla de Amortizacion'!O13,8),ROUND('Tabla de Amortizacion'!R13,8))))))</f>
        <v>0</v>
      </c>
    </row>
    <row r="13" spans="1:3" ht="12.75">
      <c r="A13" s="116">
        <f t="shared" si="0"/>
        <v>44108</v>
      </c>
      <c r="B13" s="117">
        <f>IF('CALCULADORA TIPS Pesos N-20'!$F$10="Contractual",ROUND('Tabla de Amortizacion'!B14,8),IF('CALCULADORA TIPS Pesos N-20'!$F$10="6% (Medio)",ROUND('Tabla de Amortizacion'!E14,8),IF('CALCULADORA TIPS Pesos N-20'!$F$10="10% (Medio Alto)",ROUND('Tabla de Amortizacion'!H14,8),IF('CALCULADORA TIPS Pesos N-20'!$F$10="14% (Alto)",ROUND('Tabla de Amortizacion'!K14,8),IF('CALCULADORA TIPS Pesos N-20'!$F$10=20%,ROUND('Tabla de Amortizacion'!N14,8),ROUND('Tabla de Amortizacion'!Q14,8))))))</f>
        <v>0.05349098</v>
      </c>
      <c r="C13" s="117">
        <f>IF('CALCULADORA TIPS Pesos N-20'!$F$10="Contractual",ROUND('Tabla de Amortizacion'!C14,8),IF('CALCULADORA TIPS Pesos N-20'!$F$10="6% (Medio)",ROUND('Tabla de Amortizacion'!F14,8),IF('CALCULADORA TIPS Pesos N-20'!$F$10="10% (Medio Alto)",ROUND('Tabla de Amortizacion'!I14,8),IF('CALCULADORA TIPS Pesos N-20'!$F$10="14% (Alto)",ROUND('Tabla de Amortizacion'!L14,8),IF('CALCULADORA TIPS Pesos N-20'!$F$10=20%,ROUND('Tabla de Amortizacion'!O14,8),ROUND('Tabla de Amortizacion'!R14,8))))))</f>
        <v>0</v>
      </c>
    </row>
    <row r="14" spans="1:3" ht="12.75">
      <c r="A14" s="116">
        <f t="shared" si="0"/>
        <v>44139</v>
      </c>
      <c r="B14" s="117">
        <f>IF('CALCULADORA TIPS Pesos N-20'!$F$10="Contractual",ROUND('Tabla de Amortizacion'!B15,8),IF('CALCULADORA TIPS Pesos N-20'!$F$10="6% (Medio)",ROUND('Tabla de Amortizacion'!E15,8),IF('CALCULADORA TIPS Pesos N-20'!$F$10="10% (Medio Alto)",ROUND('Tabla de Amortizacion'!H15,8),IF('CALCULADORA TIPS Pesos N-20'!$F$10="14% (Alto)",ROUND('Tabla de Amortizacion'!K15,8),IF('CALCULADORA TIPS Pesos N-20'!$F$10=20%,ROUND('Tabla de Amortizacion'!N15,8),ROUND('Tabla de Amortizacion'!Q15,8))))))</f>
        <v>0.06055346</v>
      </c>
      <c r="C14" s="117">
        <f>IF('CALCULADORA TIPS Pesos N-20'!$F$10="Contractual",ROUND('Tabla de Amortizacion'!C15,8),IF('CALCULADORA TIPS Pesos N-20'!$F$10="6% (Medio)",ROUND('Tabla de Amortizacion'!F15,8),IF('CALCULADORA TIPS Pesos N-20'!$F$10="10% (Medio Alto)",ROUND('Tabla de Amortizacion'!I15,8),IF('CALCULADORA TIPS Pesos N-20'!$F$10="14% (Alto)",ROUND('Tabla de Amortizacion'!L15,8),IF('CALCULADORA TIPS Pesos N-20'!$F$10=20%,ROUND('Tabla de Amortizacion'!O15,8),ROUND('Tabla de Amortizacion'!R15,8))))))</f>
        <v>0</v>
      </c>
    </row>
    <row r="15" spans="1:3" ht="12.75">
      <c r="A15" s="116">
        <f t="shared" si="0"/>
        <v>44169</v>
      </c>
      <c r="B15" s="117">
        <f>IF('CALCULADORA TIPS Pesos N-20'!$F$10="Contractual",ROUND('Tabla de Amortizacion'!B16,8),IF('CALCULADORA TIPS Pesos N-20'!$F$10="6% (Medio)",ROUND('Tabla de Amortizacion'!E16,8),IF('CALCULADORA TIPS Pesos N-20'!$F$10="10% (Medio Alto)",ROUND('Tabla de Amortizacion'!H16,8),IF('CALCULADORA TIPS Pesos N-20'!$F$10="14% (Alto)",ROUND('Tabla de Amortizacion'!K16,8),IF('CALCULADORA TIPS Pesos N-20'!$F$10=20%,ROUND('Tabla de Amortizacion'!N16,8),ROUND('Tabla de Amortizacion'!Q16,8))))))</f>
        <v>0.07066828</v>
      </c>
      <c r="C15" s="117">
        <f>IF('CALCULADORA TIPS Pesos N-20'!$F$10="Contractual",ROUND('Tabla de Amortizacion'!C16,8),IF('CALCULADORA TIPS Pesos N-20'!$F$10="6% (Medio)",ROUND('Tabla de Amortizacion'!F16,8),IF('CALCULADORA TIPS Pesos N-20'!$F$10="10% (Medio Alto)",ROUND('Tabla de Amortizacion'!I16,8),IF('CALCULADORA TIPS Pesos N-20'!$F$10="14% (Alto)",ROUND('Tabla de Amortizacion'!L16,8),IF('CALCULADORA TIPS Pesos N-20'!$F$10=20%,ROUND('Tabla de Amortizacion'!O16,8),ROUND('Tabla de Amortizacion'!R16,8))))))</f>
        <v>0</v>
      </c>
    </row>
    <row r="16" spans="1:3" ht="12.75">
      <c r="A16" s="116">
        <f t="shared" si="0"/>
        <v>44200</v>
      </c>
      <c r="B16" s="117">
        <f>IF('CALCULADORA TIPS Pesos N-20'!$F$10="Contractual",ROUND('Tabla de Amortizacion'!B17,8),IF('CALCULADORA TIPS Pesos N-20'!$F$10="6% (Medio)",ROUND('Tabla de Amortizacion'!E17,8),IF('CALCULADORA TIPS Pesos N-20'!$F$10="10% (Medio Alto)",ROUND('Tabla de Amortizacion'!H17,8),IF('CALCULADORA TIPS Pesos N-20'!$F$10="14% (Alto)",ROUND('Tabla de Amortizacion'!K17,8),IF('CALCULADORA TIPS Pesos N-20'!$F$10=20%,ROUND('Tabla de Amortizacion'!N17,8),ROUND('Tabla de Amortizacion'!Q17,8))))))</f>
        <v>0.06700055</v>
      </c>
      <c r="C16" s="117">
        <f>IF('CALCULADORA TIPS Pesos N-20'!$F$10="Contractual",ROUND('Tabla de Amortizacion'!C17,8),IF('CALCULADORA TIPS Pesos N-20'!$F$10="6% (Medio)",ROUND('Tabla de Amortizacion'!F17,8),IF('CALCULADORA TIPS Pesos N-20'!$F$10="10% (Medio Alto)",ROUND('Tabla de Amortizacion'!I17,8),IF('CALCULADORA TIPS Pesos N-20'!$F$10="14% (Alto)",ROUND('Tabla de Amortizacion'!L17,8),IF('CALCULADORA TIPS Pesos N-20'!$F$10=20%,ROUND('Tabla de Amortizacion'!O17,8),ROUND('Tabla de Amortizacion'!R17,8))))))</f>
        <v>0</v>
      </c>
    </row>
    <row r="17" spans="1:3" ht="12.75">
      <c r="A17" s="116">
        <f t="shared" si="0"/>
        <v>44231</v>
      </c>
      <c r="B17" s="117">
        <f>IF('CALCULADORA TIPS Pesos N-20'!$F$10="Contractual",ROUND('Tabla de Amortizacion'!B18,8),IF('CALCULADORA TIPS Pesos N-20'!$F$10="6% (Medio)",ROUND('Tabla de Amortizacion'!E18,8),IF('CALCULADORA TIPS Pesos N-20'!$F$10="10% (Medio Alto)",ROUND('Tabla de Amortizacion'!H18,8),IF('CALCULADORA TIPS Pesos N-20'!$F$10="14% (Alto)",ROUND('Tabla de Amortizacion'!K18,8),IF('CALCULADORA TIPS Pesos N-20'!$F$10=20%,ROUND('Tabla de Amortizacion'!N18,8),ROUND('Tabla de Amortizacion'!Q18,8))))))</f>
        <v>0.07629754</v>
      </c>
      <c r="C17" s="117">
        <f>IF('CALCULADORA TIPS Pesos N-20'!$F$10="Contractual",ROUND('Tabla de Amortizacion'!C18,8),IF('CALCULADORA TIPS Pesos N-20'!$F$10="6% (Medio)",ROUND('Tabla de Amortizacion'!F18,8),IF('CALCULADORA TIPS Pesos N-20'!$F$10="10% (Medio Alto)",ROUND('Tabla de Amortizacion'!I18,8),IF('CALCULADORA TIPS Pesos N-20'!$F$10="14% (Alto)",ROUND('Tabla de Amortizacion'!L18,8),IF('CALCULADORA TIPS Pesos N-20'!$F$10=20%,ROUND('Tabla de Amortizacion'!O18,8),ROUND('Tabla de Amortizacion'!R18,8))))))</f>
        <v>0</v>
      </c>
    </row>
    <row r="18" spans="1:3" ht="12.75">
      <c r="A18" s="116">
        <f t="shared" si="0"/>
        <v>44259</v>
      </c>
      <c r="B18" s="117">
        <f>IF('CALCULADORA TIPS Pesos N-20'!$F$10="Contractual",ROUND('Tabla de Amortizacion'!B19,8),IF('CALCULADORA TIPS Pesos N-20'!$F$10="6% (Medio)",ROUND('Tabla de Amortizacion'!E19,8),IF('CALCULADORA TIPS Pesos N-20'!$F$10="10% (Medio Alto)",ROUND('Tabla de Amortizacion'!H19,8),IF('CALCULADORA TIPS Pesos N-20'!$F$10="14% (Alto)",ROUND('Tabla de Amortizacion'!K19,8),IF('CALCULADORA TIPS Pesos N-20'!$F$10=20%,ROUND('Tabla de Amortizacion'!N19,8),ROUND('Tabla de Amortizacion'!Q19,8))))))</f>
        <v>0.07406062</v>
      </c>
      <c r="C18" s="117">
        <f>IF('CALCULADORA TIPS Pesos N-20'!$F$10="Contractual",ROUND('Tabla de Amortizacion'!C19,8),IF('CALCULADORA TIPS Pesos N-20'!$F$10="6% (Medio)",ROUND('Tabla de Amortizacion'!F19,8),IF('CALCULADORA TIPS Pesos N-20'!$F$10="10% (Medio Alto)",ROUND('Tabla de Amortizacion'!I19,8),IF('CALCULADORA TIPS Pesos N-20'!$F$10="14% (Alto)",ROUND('Tabla de Amortizacion'!L19,8),IF('CALCULADORA TIPS Pesos N-20'!$F$10=20%,ROUND('Tabla de Amortizacion'!O19,8),ROUND('Tabla de Amortizacion'!R19,8))))))</f>
        <v>0</v>
      </c>
    </row>
    <row r="19" spans="1:3" ht="12.75">
      <c r="A19" s="116">
        <f t="shared" si="0"/>
        <v>44290</v>
      </c>
      <c r="B19" s="117">
        <f>IF('CALCULADORA TIPS Pesos N-20'!$F$10="Contractual",ROUND('Tabla de Amortizacion'!B20,8),IF('CALCULADORA TIPS Pesos N-20'!$F$10="6% (Medio)",ROUND('Tabla de Amortizacion'!E20,8),IF('CALCULADORA TIPS Pesos N-20'!$F$10="10% (Medio Alto)",ROUND('Tabla de Amortizacion'!H20,8),IF('CALCULADORA TIPS Pesos N-20'!$F$10="14% (Alto)",ROUND('Tabla de Amortizacion'!K20,8),IF('CALCULADORA TIPS Pesos N-20'!$F$10=20%,ROUND('Tabla de Amortizacion'!N20,8),ROUND('Tabla de Amortizacion'!Q20,8))))))</f>
        <v>0.06365999</v>
      </c>
      <c r="C19" s="117">
        <f>IF('CALCULADORA TIPS Pesos N-20'!$F$10="Contractual",ROUND('Tabla de Amortizacion'!C20,8),IF('CALCULADORA TIPS Pesos N-20'!$F$10="6% (Medio)",ROUND('Tabla de Amortizacion'!F20,8),IF('CALCULADORA TIPS Pesos N-20'!$F$10="10% (Medio Alto)",ROUND('Tabla de Amortizacion'!I20,8),IF('CALCULADORA TIPS Pesos N-20'!$F$10="14% (Alto)",ROUND('Tabla de Amortizacion'!L20,8),IF('CALCULADORA TIPS Pesos N-20'!$F$10=20%,ROUND('Tabla de Amortizacion'!O20,8),ROUND('Tabla de Amortizacion'!R20,8))))))</f>
        <v>0</v>
      </c>
    </row>
    <row r="20" spans="1:3" ht="12.75">
      <c r="A20" s="116">
        <f t="shared" si="0"/>
        <v>44320</v>
      </c>
      <c r="B20" s="117">
        <f>IF('CALCULADORA TIPS Pesos N-20'!$F$10="Contractual",ROUND('Tabla de Amortizacion'!B21,8),IF('CALCULADORA TIPS Pesos N-20'!$F$10="6% (Medio)",ROUND('Tabla de Amortizacion'!E21,8),IF('CALCULADORA TIPS Pesos N-20'!$F$10="10% (Medio Alto)",ROUND('Tabla de Amortizacion'!H21,8),IF('CALCULADORA TIPS Pesos N-20'!$F$10="14% (Alto)",ROUND('Tabla de Amortizacion'!K21,8),IF('CALCULADORA TIPS Pesos N-20'!$F$10=20%,ROUND('Tabla de Amortizacion'!N21,8),ROUND('Tabla de Amortizacion'!Q21,8))))))</f>
        <v>0.0200861</v>
      </c>
      <c r="C20" s="117">
        <f>IF('CALCULADORA TIPS Pesos N-20'!$F$10="Contractual",ROUND('Tabla de Amortizacion'!C21,8),IF('CALCULADORA TIPS Pesos N-20'!$F$10="6% (Medio)",ROUND('Tabla de Amortizacion'!F21,8),IF('CALCULADORA TIPS Pesos N-20'!$F$10="10% (Medio Alto)",ROUND('Tabla de Amortizacion'!I21,8),IF('CALCULADORA TIPS Pesos N-20'!$F$10="14% (Alto)",ROUND('Tabla de Amortizacion'!L21,8),IF('CALCULADORA TIPS Pesos N-20'!$F$10=20%,ROUND('Tabla de Amortizacion'!O21,8),ROUND('Tabla de Amortizacion'!R21,8))))))</f>
        <v>0.0158525</v>
      </c>
    </row>
    <row r="21" spans="1:3" ht="12.75">
      <c r="A21" s="116">
        <f t="shared" si="0"/>
        <v>44351</v>
      </c>
      <c r="B21" s="117">
        <f>IF('CALCULADORA TIPS Pesos N-20'!$F$10="Contractual",ROUND('Tabla de Amortizacion'!B22,8),IF('CALCULADORA TIPS Pesos N-20'!$F$10="6% (Medio)",ROUND('Tabla de Amortizacion'!E22,8),IF('CALCULADORA TIPS Pesos N-20'!$F$10="10% (Medio Alto)",ROUND('Tabla de Amortizacion'!H22,8),IF('CALCULADORA TIPS Pesos N-20'!$F$10="14% (Alto)",ROUND('Tabla de Amortizacion'!K22,8),IF('CALCULADORA TIPS Pesos N-20'!$F$10=20%,ROUND('Tabla de Amortizacion'!N22,8),ROUND('Tabla de Amortizacion'!Q22,8))))))</f>
        <v>0</v>
      </c>
      <c r="C21" s="117">
        <f>IF('CALCULADORA TIPS Pesos N-20'!$F$10="Contractual",ROUND('Tabla de Amortizacion'!C22,8),IF('CALCULADORA TIPS Pesos N-20'!$F$10="6% (Medio)",ROUND('Tabla de Amortizacion'!F22,8),IF('CALCULADORA TIPS Pesos N-20'!$F$10="10% (Medio Alto)",ROUND('Tabla de Amortizacion'!I22,8),IF('CALCULADORA TIPS Pesos N-20'!$F$10="14% (Alto)",ROUND('Tabla de Amortizacion'!L22,8),IF('CALCULADORA TIPS Pesos N-20'!$F$10=20%,ROUND('Tabla de Amortizacion'!O22,8),ROUND('Tabla de Amortizacion'!R22,8))))))</f>
        <v>0.02892144</v>
      </c>
    </row>
    <row r="22" spans="1:3" ht="12.75">
      <c r="A22" s="116">
        <f t="shared" si="0"/>
        <v>44381</v>
      </c>
      <c r="B22" s="117">
        <f>IF('CALCULADORA TIPS Pesos N-20'!$F$10="Contractual",ROUND('Tabla de Amortizacion'!B23,8),IF('CALCULADORA TIPS Pesos N-20'!$F$10="6% (Medio)",ROUND('Tabla de Amortizacion'!E23,8),IF('CALCULADORA TIPS Pesos N-20'!$F$10="10% (Medio Alto)",ROUND('Tabla de Amortizacion'!H23,8),IF('CALCULADORA TIPS Pesos N-20'!$F$10="14% (Alto)",ROUND('Tabla de Amortizacion'!K23,8),IF('CALCULADORA TIPS Pesos N-20'!$F$10=20%,ROUND('Tabla de Amortizacion'!N23,8),ROUND('Tabla de Amortizacion'!Q23,8))))))</f>
        <v>0</v>
      </c>
      <c r="C22" s="117">
        <f>IF('CALCULADORA TIPS Pesos N-20'!$F$10="Contractual",ROUND('Tabla de Amortizacion'!C23,8),IF('CALCULADORA TIPS Pesos N-20'!$F$10="6% (Medio)",ROUND('Tabla de Amortizacion'!F23,8),IF('CALCULADORA TIPS Pesos N-20'!$F$10="10% (Medio Alto)",ROUND('Tabla de Amortizacion'!I23,8),IF('CALCULADORA TIPS Pesos N-20'!$F$10="14% (Alto)",ROUND('Tabla de Amortizacion'!L23,8),IF('CALCULADORA TIPS Pesos N-20'!$F$10=20%,ROUND('Tabla de Amortizacion'!O23,8),ROUND('Tabla de Amortizacion'!R23,8))))))</f>
        <v>0.02259371</v>
      </c>
    </row>
    <row r="23" spans="1:3" ht="12.75">
      <c r="A23" s="116">
        <f t="shared" si="0"/>
        <v>44412</v>
      </c>
      <c r="B23" s="117">
        <f>IF('CALCULADORA TIPS Pesos N-20'!$F$10="Contractual",ROUND('Tabla de Amortizacion'!B24,8),IF('CALCULADORA TIPS Pesos N-20'!$F$10="6% (Medio)",ROUND('Tabla de Amortizacion'!E24,8),IF('CALCULADORA TIPS Pesos N-20'!$F$10="10% (Medio Alto)",ROUND('Tabla de Amortizacion'!H24,8),IF('CALCULADORA TIPS Pesos N-20'!$F$10="14% (Alto)",ROUND('Tabla de Amortizacion'!K24,8),IF('CALCULADORA TIPS Pesos N-20'!$F$10=20%,ROUND('Tabla de Amortizacion'!N24,8),ROUND('Tabla de Amortizacion'!Q24,8))))))</f>
        <v>0</v>
      </c>
      <c r="C23" s="117">
        <f>IF('CALCULADORA TIPS Pesos N-20'!$F$10="Contractual",ROUND('Tabla de Amortizacion'!C24,8),IF('CALCULADORA TIPS Pesos N-20'!$F$10="6% (Medio)",ROUND('Tabla de Amortizacion'!F24,8),IF('CALCULADORA TIPS Pesos N-20'!$F$10="10% (Medio Alto)",ROUND('Tabla de Amortizacion'!I24,8),IF('CALCULADORA TIPS Pesos N-20'!$F$10="14% (Alto)",ROUND('Tabla de Amortizacion'!L24,8),IF('CALCULADORA TIPS Pesos N-20'!$F$10=20%,ROUND('Tabla de Amortizacion'!O24,8),ROUND('Tabla de Amortizacion'!R24,8))))))</f>
        <v>0.02618229</v>
      </c>
    </row>
    <row r="24" spans="1:3" ht="12.75">
      <c r="A24" s="116">
        <f t="shared" si="0"/>
        <v>44443</v>
      </c>
      <c r="B24" s="117">
        <f>IF('CALCULADORA TIPS Pesos N-20'!$F$10="Contractual",ROUND('Tabla de Amortizacion'!B25,8),IF('CALCULADORA TIPS Pesos N-20'!$F$10="6% (Medio)",ROUND('Tabla de Amortizacion'!E25,8),IF('CALCULADORA TIPS Pesos N-20'!$F$10="10% (Medio Alto)",ROUND('Tabla de Amortizacion'!H25,8),IF('CALCULADORA TIPS Pesos N-20'!$F$10="14% (Alto)",ROUND('Tabla de Amortizacion'!K25,8),IF('CALCULADORA TIPS Pesos N-20'!$F$10=20%,ROUND('Tabla de Amortizacion'!N25,8),ROUND('Tabla de Amortizacion'!Q25,8))))))</f>
        <v>0</v>
      </c>
      <c r="C24" s="117">
        <f>IF('CALCULADORA TIPS Pesos N-20'!$F$10="Contractual",ROUND('Tabla de Amortizacion'!C25,8),IF('CALCULADORA TIPS Pesos N-20'!$F$10="6% (Medio)",ROUND('Tabla de Amortizacion'!F25,8),IF('CALCULADORA TIPS Pesos N-20'!$F$10="10% (Medio Alto)",ROUND('Tabla de Amortizacion'!I25,8),IF('CALCULADORA TIPS Pesos N-20'!$F$10="14% (Alto)",ROUND('Tabla de Amortizacion'!L25,8),IF('CALCULADORA TIPS Pesos N-20'!$F$10=20%,ROUND('Tabla de Amortizacion'!O25,8),ROUND('Tabla de Amortizacion'!R25,8))))))</f>
        <v>0.02214692</v>
      </c>
    </row>
    <row r="25" spans="1:3" ht="12.75">
      <c r="A25" s="116">
        <f t="shared" si="0"/>
        <v>44473</v>
      </c>
      <c r="B25" s="117">
        <f>IF('CALCULADORA TIPS Pesos N-20'!$F$10="Contractual",ROUND('Tabla de Amortizacion'!B26,8),IF('CALCULADORA TIPS Pesos N-20'!$F$10="6% (Medio)",ROUND('Tabla de Amortizacion'!E26,8),IF('CALCULADORA TIPS Pesos N-20'!$F$10="10% (Medio Alto)",ROUND('Tabla de Amortizacion'!H26,8),IF('CALCULADORA TIPS Pesos N-20'!$F$10="14% (Alto)",ROUND('Tabla de Amortizacion'!K26,8),IF('CALCULADORA TIPS Pesos N-20'!$F$10=20%,ROUND('Tabla de Amortizacion'!N26,8),ROUND('Tabla de Amortizacion'!Q26,8))))))</f>
        <v>0</v>
      </c>
      <c r="C25" s="117">
        <f>IF('CALCULADORA TIPS Pesos N-20'!$F$10="Contractual",ROUND('Tabla de Amortizacion'!C26,8),IF('CALCULADORA TIPS Pesos N-20'!$F$10="6% (Medio)",ROUND('Tabla de Amortizacion'!F26,8),IF('CALCULADORA TIPS Pesos N-20'!$F$10="10% (Medio Alto)",ROUND('Tabla de Amortizacion'!I26,8),IF('CALCULADORA TIPS Pesos N-20'!$F$10="14% (Alto)",ROUND('Tabla de Amortizacion'!L26,8),IF('CALCULADORA TIPS Pesos N-20'!$F$10=20%,ROUND('Tabla de Amortizacion'!O26,8),ROUND('Tabla de Amortizacion'!R26,8))))))</f>
        <v>0.01938706</v>
      </c>
    </row>
    <row r="26" spans="1:3" ht="12.75">
      <c r="A26" s="116">
        <f t="shared" si="0"/>
        <v>44504</v>
      </c>
      <c r="B26" s="117">
        <f>IF('CALCULADORA TIPS Pesos N-20'!$F$10="Contractual",ROUND('Tabla de Amortizacion'!B27,8),IF('CALCULADORA TIPS Pesos N-20'!$F$10="6% (Medio)",ROUND('Tabla de Amortizacion'!E27,8),IF('CALCULADORA TIPS Pesos N-20'!$F$10="10% (Medio Alto)",ROUND('Tabla de Amortizacion'!H27,8),IF('CALCULADORA TIPS Pesos N-20'!$F$10="14% (Alto)",ROUND('Tabla de Amortizacion'!K27,8),IF('CALCULADORA TIPS Pesos N-20'!$F$10=20%,ROUND('Tabla de Amortizacion'!N27,8),ROUND('Tabla de Amortizacion'!Q27,8))))))</f>
        <v>0</v>
      </c>
      <c r="C26" s="117">
        <f>IF('CALCULADORA TIPS Pesos N-20'!$F$10="Contractual",ROUND('Tabla de Amortizacion'!C27,8),IF('CALCULADORA TIPS Pesos N-20'!$F$10="6% (Medio)",ROUND('Tabla de Amortizacion'!F27,8),IF('CALCULADORA TIPS Pesos N-20'!$F$10="10% (Medio Alto)",ROUND('Tabla de Amortizacion'!I27,8),IF('CALCULADORA TIPS Pesos N-20'!$F$10="14% (Alto)",ROUND('Tabla de Amortizacion'!L27,8),IF('CALCULADORA TIPS Pesos N-20'!$F$10=20%,ROUND('Tabla de Amortizacion'!O27,8),ROUND('Tabla de Amortizacion'!R27,8))))))</f>
        <v>0.01884397</v>
      </c>
    </row>
    <row r="27" spans="1:3" ht="12.75">
      <c r="A27" s="116">
        <f t="shared" si="0"/>
        <v>44534</v>
      </c>
      <c r="B27" s="117">
        <f>IF('CALCULADORA TIPS Pesos N-20'!$F$10="Contractual",ROUND('Tabla de Amortizacion'!B28,8),IF('CALCULADORA TIPS Pesos N-20'!$F$10="6% (Medio)",ROUND('Tabla de Amortizacion'!E28,8),IF('CALCULADORA TIPS Pesos N-20'!$F$10="10% (Medio Alto)",ROUND('Tabla de Amortizacion'!H28,8),IF('CALCULADORA TIPS Pesos N-20'!$F$10="14% (Alto)",ROUND('Tabla de Amortizacion'!K28,8),IF('CALCULADORA TIPS Pesos N-20'!$F$10=20%,ROUND('Tabla de Amortizacion'!N28,8),ROUND('Tabla de Amortizacion'!Q28,8))))))</f>
        <v>0</v>
      </c>
      <c r="C27" s="117">
        <f>IF('CALCULADORA TIPS Pesos N-20'!$F$10="Contractual",ROUND('Tabla de Amortizacion'!C28,8),IF('CALCULADORA TIPS Pesos N-20'!$F$10="6% (Medio)",ROUND('Tabla de Amortizacion'!F28,8),IF('CALCULADORA TIPS Pesos N-20'!$F$10="10% (Medio Alto)",ROUND('Tabla de Amortizacion'!I28,8),IF('CALCULADORA TIPS Pesos N-20'!$F$10="14% (Alto)",ROUND('Tabla de Amortizacion'!L28,8),IF('CALCULADORA TIPS Pesos N-20'!$F$10=20%,ROUND('Tabla de Amortizacion'!O28,8),ROUND('Tabla de Amortizacion'!R28,8))))))</f>
        <v>0.02129778</v>
      </c>
    </row>
    <row r="28" spans="1:3" ht="12.75">
      <c r="A28" s="116">
        <f t="shared" si="0"/>
        <v>44565</v>
      </c>
      <c r="B28" s="117">
        <f>IF('CALCULADORA TIPS Pesos N-20'!$F$10="Contractual",ROUND('Tabla de Amortizacion'!B29,8),IF('CALCULADORA TIPS Pesos N-20'!$F$10="6% (Medio)",ROUND('Tabla de Amortizacion'!E29,8),IF('CALCULADORA TIPS Pesos N-20'!$F$10="10% (Medio Alto)",ROUND('Tabla de Amortizacion'!H29,8),IF('CALCULADORA TIPS Pesos N-20'!$F$10="14% (Alto)",ROUND('Tabla de Amortizacion'!K29,8),IF('CALCULADORA TIPS Pesos N-20'!$F$10=20%,ROUND('Tabla de Amortizacion'!N29,8),ROUND('Tabla de Amortizacion'!Q29,8))))))</f>
        <v>0</v>
      </c>
      <c r="C28" s="117">
        <f>IF('CALCULADORA TIPS Pesos N-20'!$F$10="Contractual",ROUND('Tabla de Amortizacion'!C29,8),IF('CALCULADORA TIPS Pesos N-20'!$F$10="6% (Medio)",ROUND('Tabla de Amortizacion'!F29,8),IF('CALCULADORA TIPS Pesos N-20'!$F$10="10% (Medio Alto)",ROUND('Tabla de Amortizacion'!I29,8),IF('CALCULADORA TIPS Pesos N-20'!$F$10="14% (Alto)",ROUND('Tabla de Amortizacion'!L29,8),IF('CALCULADORA TIPS Pesos N-20'!$F$10=20%,ROUND('Tabla de Amortizacion'!O29,8),ROUND('Tabla de Amortizacion'!R29,8))))))</f>
        <v>0.01328574</v>
      </c>
    </row>
    <row r="29" spans="1:3" ht="12.75">
      <c r="A29" s="116">
        <f t="shared" si="0"/>
        <v>44596</v>
      </c>
      <c r="B29" s="117">
        <f>IF('CALCULADORA TIPS Pesos N-20'!$F$10="Contractual",ROUND('Tabla de Amortizacion'!B30,8),IF('CALCULADORA TIPS Pesos N-20'!$F$10="6% (Medio)",ROUND('Tabla de Amortizacion'!E30,8),IF('CALCULADORA TIPS Pesos N-20'!$F$10="10% (Medio Alto)",ROUND('Tabla de Amortizacion'!H30,8),IF('CALCULADORA TIPS Pesos N-20'!$F$10="14% (Alto)",ROUND('Tabla de Amortizacion'!K30,8),IF('CALCULADORA TIPS Pesos N-20'!$F$10=20%,ROUND('Tabla de Amortizacion'!N30,8),ROUND('Tabla de Amortizacion'!Q30,8))))))</f>
        <v>0</v>
      </c>
      <c r="C29" s="117">
        <f>IF('CALCULADORA TIPS Pesos N-20'!$F$10="Contractual",ROUND('Tabla de Amortizacion'!C30,8),IF('CALCULADORA TIPS Pesos N-20'!$F$10="6% (Medio)",ROUND('Tabla de Amortizacion'!F30,8),IF('CALCULADORA TIPS Pesos N-20'!$F$10="10% (Medio Alto)",ROUND('Tabla de Amortizacion'!I30,8),IF('CALCULADORA TIPS Pesos N-20'!$F$10="14% (Alto)",ROUND('Tabla de Amortizacion'!L30,8),IF('CALCULADORA TIPS Pesos N-20'!$F$10=20%,ROUND('Tabla de Amortizacion'!O30,8),ROUND('Tabla de Amortizacion'!R30,8))))))</f>
        <v>0.01759811</v>
      </c>
    </row>
    <row r="30" spans="1:3" ht="12.75">
      <c r="A30" s="116">
        <f t="shared" si="0"/>
        <v>44624</v>
      </c>
      <c r="B30" s="117">
        <f>IF('CALCULADORA TIPS Pesos N-20'!$F$10="Contractual",ROUND('Tabla de Amortizacion'!B31,8),IF('CALCULADORA TIPS Pesos N-20'!$F$10="6% (Medio)",ROUND('Tabla de Amortizacion'!E31,8),IF('CALCULADORA TIPS Pesos N-20'!$F$10="10% (Medio Alto)",ROUND('Tabla de Amortizacion'!H31,8),IF('CALCULADORA TIPS Pesos N-20'!$F$10="14% (Alto)",ROUND('Tabla de Amortizacion'!K31,8),IF('CALCULADORA TIPS Pesos N-20'!$F$10=20%,ROUND('Tabla de Amortizacion'!N31,8),ROUND('Tabla de Amortizacion'!Q31,8))))))</f>
        <v>0</v>
      </c>
      <c r="C30" s="117">
        <f>IF('CALCULADORA TIPS Pesos N-20'!$F$10="Contractual",ROUND('Tabla de Amortizacion'!C31,8),IF('CALCULADORA TIPS Pesos N-20'!$F$10="6% (Medio)",ROUND('Tabla de Amortizacion'!F31,8),IF('CALCULADORA TIPS Pesos N-20'!$F$10="10% (Medio Alto)",ROUND('Tabla de Amortizacion'!I31,8),IF('CALCULADORA TIPS Pesos N-20'!$F$10="14% (Alto)",ROUND('Tabla de Amortizacion'!L31,8),IF('CALCULADORA TIPS Pesos N-20'!$F$10=20%,ROUND('Tabla de Amortizacion'!O31,8),ROUND('Tabla de Amortizacion'!R31,8))))))</f>
        <v>0.01624602</v>
      </c>
    </row>
    <row r="31" spans="1:3" ht="12.75">
      <c r="A31" s="116">
        <f t="shared" si="0"/>
        <v>44655</v>
      </c>
      <c r="B31" s="117">
        <f>IF('CALCULADORA TIPS Pesos N-20'!$F$10="Contractual",ROUND('Tabla de Amortizacion'!B32,8),IF('CALCULADORA TIPS Pesos N-20'!$F$10="6% (Medio)",ROUND('Tabla de Amortizacion'!E32,8),IF('CALCULADORA TIPS Pesos N-20'!$F$10="10% (Medio Alto)",ROUND('Tabla de Amortizacion'!H32,8),IF('CALCULADORA TIPS Pesos N-20'!$F$10="14% (Alto)",ROUND('Tabla de Amortizacion'!K32,8),IF('CALCULADORA TIPS Pesos N-20'!$F$10=20%,ROUND('Tabla de Amortizacion'!N32,8),ROUND('Tabla de Amortizacion'!Q32,8))))))</f>
        <v>0</v>
      </c>
      <c r="C31" s="117">
        <f>IF('CALCULADORA TIPS Pesos N-20'!$F$10="Contractual",ROUND('Tabla de Amortizacion'!C32,8),IF('CALCULADORA TIPS Pesos N-20'!$F$10="6% (Medio)",ROUND('Tabla de Amortizacion'!F32,8),IF('CALCULADORA TIPS Pesos N-20'!$F$10="10% (Medio Alto)",ROUND('Tabla de Amortizacion'!I32,8),IF('CALCULADORA TIPS Pesos N-20'!$F$10="14% (Alto)",ROUND('Tabla de Amortizacion'!L32,8),IF('CALCULADORA TIPS Pesos N-20'!$F$10=20%,ROUND('Tabla de Amortizacion'!O32,8),ROUND('Tabla de Amortizacion'!R32,8))))))</f>
        <v>0.01670805</v>
      </c>
    </row>
    <row r="32" spans="1:3" ht="12.75">
      <c r="A32" s="116">
        <f t="shared" si="0"/>
        <v>44685</v>
      </c>
      <c r="B32" s="117">
        <f>IF('CALCULADORA TIPS Pesos N-20'!$F$10="Contractual",ROUND('Tabla de Amortizacion'!B33,8),IF('CALCULADORA TIPS Pesos N-20'!$F$10="6% (Medio)",ROUND('Tabla de Amortizacion'!E33,8),IF('CALCULADORA TIPS Pesos N-20'!$F$10="10% (Medio Alto)",ROUND('Tabla de Amortizacion'!H33,8),IF('CALCULADORA TIPS Pesos N-20'!$F$10="14% (Alto)",ROUND('Tabla de Amortizacion'!K33,8),IF('CALCULADORA TIPS Pesos N-20'!$F$10=20%,ROUND('Tabla de Amortizacion'!N33,8),ROUND('Tabla de Amortizacion'!Q33,8))))))</f>
        <v>0</v>
      </c>
      <c r="C32" s="117">
        <f>IF('CALCULADORA TIPS Pesos N-20'!$F$10="Contractual",ROUND('Tabla de Amortizacion'!C33,8),IF('CALCULADORA TIPS Pesos N-20'!$F$10="6% (Medio)",ROUND('Tabla de Amortizacion'!F33,8),IF('CALCULADORA TIPS Pesos N-20'!$F$10="10% (Medio Alto)",ROUND('Tabla de Amortizacion'!I33,8),IF('CALCULADORA TIPS Pesos N-20'!$F$10="14% (Alto)",ROUND('Tabla de Amortizacion'!L33,8),IF('CALCULADORA TIPS Pesos N-20'!$F$10=20%,ROUND('Tabla de Amortizacion'!O33,8),ROUND('Tabla de Amortizacion'!R33,8))))))</f>
        <v>0.01450048</v>
      </c>
    </row>
    <row r="33" spans="1:3" ht="12.75">
      <c r="A33" s="116">
        <f t="shared" si="0"/>
        <v>44716</v>
      </c>
      <c r="B33" s="117">
        <f>IF('CALCULADORA TIPS Pesos N-20'!$F$10="Contractual",ROUND('Tabla de Amortizacion'!B34,8),IF('CALCULADORA TIPS Pesos N-20'!$F$10="6% (Medio)",ROUND('Tabla de Amortizacion'!E34,8),IF('CALCULADORA TIPS Pesos N-20'!$F$10="10% (Medio Alto)",ROUND('Tabla de Amortizacion'!H34,8),IF('CALCULADORA TIPS Pesos N-20'!$F$10="14% (Alto)",ROUND('Tabla de Amortizacion'!K34,8),IF('CALCULADORA TIPS Pesos N-20'!$F$10=20%,ROUND('Tabla de Amortizacion'!N34,8),ROUND('Tabla de Amortizacion'!Q34,8))))))</f>
        <v>0</v>
      </c>
      <c r="C33" s="117">
        <f>IF('CALCULADORA TIPS Pesos N-20'!$F$10="Contractual",ROUND('Tabla de Amortizacion'!C34,8),IF('CALCULADORA TIPS Pesos N-20'!$F$10="6% (Medio)",ROUND('Tabla de Amortizacion'!F34,8),IF('CALCULADORA TIPS Pesos N-20'!$F$10="10% (Medio Alto)",ROUND('Tabla de Amortizacion'!I34,8),IF('CALCULADORA TIPS Pesos N-20'!$F$10="14% (Alto)",ROUND('Tabla de Amortizacion'!L34,8),IF('CALCULADORA TIPS Pesos N-20'!$F$10=20%,ROUND('Tabla de Amortizacion'!O34,8),ROUND('Tabla de Amortizacion'!R34,8))))))</f>
        <v>0.0159464</v>
      </c>
    </row>
    <row r="34" spans="1:3" ht="12.75">
      <c r="A34" s="116">
        <f t="shared" si="0"/>
        <v>44746</v>
      </c>
      <c r="B34" s="117">
        <f>IF('CALCULADORA TIPS Pesos N-20'!$F$10="Contractual",ROUND('Tabla de Amortizacion'!B35,8),IF('CALCULADORA TIPS Pesos N-20'!$F$10="6% (Medio)",ROUND('Tabla de Amortizacion'!E35,8),IF('CALCULADORA TIPS Pesos N-20'!$F$10="10% (Medio Alto)",ROUND('Tabla de Amortizacion'!H35,8),IF('CALCULADORA TIPS Pesos N-20'!$F$10="14% (Alto)",ROUND('Tabla de Amortizacion'!K35,8),IF('CALCULADORA TIPS Pesos N-20'!$F$10=20%,ROUND('Tabla de Amortizacion'!N35,8),ROUND('Tabla de Amortizacion'!Q35,8))))))</f>
        <v>0</v>
      </c>
      <c r="C34" s="117">
        <f>IF('CALCULADORA TIPS Pesos N-20'!$F$10="Contractual",ROUND('Tabla de Amortizacion'!C35,8),IF('CALCULADORA TIPS Pesos N-20'!$F$10="6% (Medio)",ROUND('Tabla de Amortizacion'!F35,8),IF('CALCULADORA TIPS Pesos N-20'!$F$10="10% (Medio Alto)",ROUND('Tabla de Amortizacion'!I35,8),IF('CALCULADORA TIPS Pesos N-20'!$F$10="14% (Alto)",ROUND('Tabla de Amortizacion'!L35,8),IF('CALCULADORA TIPS Pesos N-20'!$F$10=20%,ROUND('Tabla de Amortizacion'!O35,8),ROUND('Tabla de Amortizacion'!R35,8))))))</f>
        <v>0.01568914</v>
      </c>
    </row>
    <row r="35" spans="1:3" ht="12.75">
      <c r="A35" s="116">
        <f aca="true" t="shared" si="1" ref="A35:A66">_XLL.FECHA.MES(A34,1)</f>
        <v>44777</v>
      </c>
      <c r="B35" s="117">
        <f>IF('CALCULADORA TIPS Pesos N-20'!$F$10="Contractual",ROUND('Tabla de Amortizacion'!B36,8),IF('CALCULADORA TIPS Pesos N-20'!$F$10="6% (Medio)",ROUND('Tabla de Amortizacion'!E36,8),IF('CALCULADORA TIPS Pesos N-20'!$F$10="10% (Medio Alto)",ROUND('Tabla de Amortizacion'!H36,8),IF('CALCULADORA TIPS Pesos N-20'!$F$10="14% (Alto)",ROUND('Tabla de Amortizacion'!K36,8),IF('CALCULADORA TIPS Pesos N-20'!$F$10=20%,ROUND('Tabla de Amortizacion'!N36,8),ROUND('Tabla de Amortizacion'!Q36,8))))))</f>
        <v>0</v>
      </c>
      <c r="C35" s="117">
        <f>IF('CALCULADORA TIPS Pesos N-20'!$F$10="Contractual",ROUND('Tabla de Amortizacion'!C36,8),IF('CALCULADORA TIPS Pesos N-20'!$F$10="6% (Medio)",ROUND('Tabla de Amortizacion'!F36,8),IF('CALCULADORA TIPS Pesos N-20'!$F$10="10% (Medio Alto)",ROUND('Tabla de Amortizacion'!I36,8),IF('CALCULADORA TIPS Pesos N-20'!$F$10="14% (Alto)",ROUND('Tabla de Amortizacion'!L36,8),IF('CALCULADORA TIPS Pesos N-20'!$F$10=20%,ROUND('Tabla de Amortizacion'!O36,8),ROUND('Tabla de Amortizacion'!R36,8))))))</f>
        <v>0.01075758</v>
      </c>
    </row>
    <row r="36" spans="1:3" ht="12.75">
      <c r="A36" s="116">
        <f t="shared" si="1"/>
        <v>44808</v>
      </c>
      <c r="B36" s="117">
        <f>IF('CALCULADORA TIPS Pesos N-20'!$F$10="Contractual",ROUND('Tabla de Amortizacion'!B37,8),IF('CALCULADORA TIPS Pesos N-20'!$F$10="6% (Medio)",ROUND('Tabla de Amortizacion'!E37,8),IF('CALCULADORA TIPS Pesos N-20'!$F$10="10% (Medio Alto)",ROUND('Tabla de Amortizacion'!H37,8),IF('CALCULADORA TIPS Pesos N-20'!$F$10="14% (Alto)",ROUND('Tabla de Amortizacion'!K37,8),IF('CALCULADORA TIPS Pesos N-20'!$F$10=20%,ROUND('Tabla de Amortizacion'!N37,8),ROUND('Tabla de Amortizacion'!Q37,8))))))</f>
        <v>0</v>
      </c>
      <c r="C36" s="117">
        <f>IF('CALCULADORA TIPS Pesos N-20'!$F$10="Contractual",ROUND('Tabla de Amortizacion'!C37,8),IF('CALCULADORA TIPS Pesos N-20'!$F$10="6% (Medio)",ROUND('Tabla de Amortizacion'!F37,8),IF('CALCULADORA TIPS Pesos N-20'!$F$10="10% (Medio Alto)",ROUND('Tabla de Amortizacion'!I37,8),IF('CALCULADORA TIPS Pesos N-20'!$F$10="14% (Alto)",ROUND('Tabla de Amortizacion'!L37,8),IF('CALCULADORA TIPS Pesos N-20'!$F$10=20%,ROUND('Tabla de Amortizacion'!O37,8),ROUND('Tabla de Amortizacion'!R37,8))))))</f>
        <v>0.01569075</v>
      </c>
    </row>
    <row r="37" spans="1:3" ht="12.75">
      <c r="A37" s="116">
        <f t="shared" si="1"/>
        <v>44838</v>
      </c>
      <c r="B37" s="117">
        <f>IF('CALCULADORA TIPS Pesos N-20'!$F$10="Contractual",ROUND('Tabla de Amortizacion'!B38,8),IF('CALCULADORA TIPS Pesos N-20'!$F$10="6% (Medio)",ROUND('Tabla de Amortizacion'!E38,8),IF('CALCULADORA TIPS Pesos N-20'!$F$10="10% (Medio Alto)",ROUND('Tabla de Amortizacion'!H38,8),IF('CALCULADORA TIPS Pesos N-20'!$F$10="14% (Alto)",ROUND('Tabla de Amortizacion'!K38,8),IF('CALCULADORA TIPS Pesos N-20'!$F$10=20%,ROUND('Tabla de Amortizacion'!N38,8),ROUND('Tabla de Amortizacion'!Q38,8))))))</f>
        <v>0</v>
      </c>
      <c r="C37" s="117">
        <f>IF('CALCULADORA TIPS Pesos N-20'!$F$10="Contractual",ROUND('Tabla de Amortizacion'!C38,8),IF('CALCULADORA TIPS Pesos N-20'!$F$10="6% (Medio)",ROUND('Tabla de Amortizacion'!F38,8),IF('CALCULADORA TIPS Pesos N-20'!$F$10="10% (Medio Alto)",ROUND('Tabla de Amortizacion'!I38,8),IF('CALCULADORA TIPS Pesos N-20'!$F$10="14% (Alto)",ROUND('Tabla de Amortizacion'!L38,8),IF('CALCULADORA TIPS Pesos N-20'!$F$10=20%,ROUND('Tabla de Amortizacion'!O38,8),ROUND('Tabla de Amortizacion'!R38,8))))))</f>
        <v>0.01538835</v>
      </c>
    </row>
    <row r="38" spans="1:3" ht="12.75">
      <c r="A38" s="116">
        <f t="shared" si="1"/>
        <v>44869</v>
      </c>
      <c r="B38" s="117">
        <f>IF('CALCULADORA TIPS Pesos N-20'!$F$10="Contractual",ROUND('Tabla de Amortizacion'!B39,8),IF('CALCULADORA TIPS Pesos N-20'!$F$10="6% (Medio)",ROUND('Tabla de Amortizacion'!E39,8),IF('CALCULADORA TIPS Pesos N-20'!$F$10="10% (Medio Alto)",ROUND('Tabla de Amortizacion'!H39,8),IF('CALCULADORA TIPS Pesos N-20'!$F$10="14% (Alto)",ROUND('Tabla de Amortizacion'!K39,8),IF('CALCULADORA TIPS Pesos N-20'!$F$10=20%,ROUND('Tabla de Amortizacion'!N39,8),ROUND('Tabla de Amortizacion'!Q39,8))))))</f>
        <v>0</v>
      </c>
      <c r="C38" s="117">
        <f>IF('CALCULADORA TIPS Pesos N-20'!$F$10="Contractual",ROUND('Tabla de Amortizacion'!C39,8),IF('CALCULADORA TIPS Pesos N-20'!$F$10="6% (Medio)",ROUND('Tabla de Amortizacion'!F39,8),IF('CALCULADORA TIPS Pesos N-20'!$F$10="10% (Medio Alto)",ROUND('Tabla de Amortizacion'!I39,8),IF('CALCULADORA TIPS Pesos N-20'!$F$10="14% (Alto)",ROUND('Tabla de Amortizacion'!L39,8),IF('CALCULADORA TIPS Pesos N-20'!$F$10=20%,ROUND('Tabla de Amortizacion'!O39,8),ROUND('Tabla de Amortizacion'!R39,8))))))</f>
        <v>0.01510143</v>
      </c>
    </row>
    <row r="39" spans="1:3" ht="12.75">
      <c r="A39" s="116">
        <f t="shared" si="1"/>
        <v>44899</v>
      </c>
      <c r="B39" s="117">
        <f>IF('CALCULADORA TIPS Pesos N-20'!$F$10="Contractual",ROUND('Tabla de Amortizacion'!B40,8),IF('CALCULADORA TIPS Pesos N-20'!$F$10="6% (Medio)",ROUND('Tabla de Amortizacion'!E40,8),IF('CALCULADORA TIPS Pesos N-20'!$F$10="10% (Medio Alto)",ROUND('Tabla de Amortizacion'!H40,8),IF('CALCULADORA TIPS Pesos N-20'!$F$10="14% (Alto)",ROUND('Tabla de Amortizacion'!K40,8),IF('CALCULADORA TIPS Pesos N-20'!$F$10=20%,ROUND('Tabla de Amortizacion'!N40,8),ROUND('Tabla de Amortizacion'!Q40,8))))))</f>
        <v>0</v>
      </c>
      <c r="C39" s="117">
        <f>IF('CALCULADORA TIPS Pesos N-20'!$F$10="Contractual",ROUND('Tabla de Amortizacion'!C40,8),IF('CALCULADORA TIPS Pesos N-20'!$F$10="6% (Medio)",ROUND('Tabla de Amortizacion'!F40,8),IF('CALCULADORA TIPS Pesos N-20'!$F$10="10% (Medio Alto)",ROUND('Tabla de Amortizacion'!I40,8),IF('CALCULADORA TIPS Pesos N-20'!$F$10="14% (Alto)",ROUND('Tabla de Amortizacion'!L40,8),IF('CALCULADORA TIPS Pesos N-20'!$F$10=20%,ROUND('Tabla de Amortizacion'!O40,8),ROUND('Tabla de Amortizacion'!R40,8))))))</f>
        <v>0.01480314</v>
      </c>
    </row>
    <row r="40" spans="1:3" ht="12.75">
      <c r="A40" s="116">
        <f t="shared" si="1"/>
        <v>44930</v>
      </c>
      <c r="B40" s="117">
        <f>IF('CALCULADORA TIPS Pesos N-20'!$F$10="Contractual",ROUND('Tabla de Amortizacion'!B41,8),IF('CALCULADORA TIPS Pesos N-20'!$F$10="6% (Medio)",ROUND('Tabla de Amortizacion'!E41,8),IF('CALCULADORA TIPS Pesos N-20'!$F$10="10% (Medio Alto)",ROUND('Tabla de Amortizacion'!H41,8),IF('CALCULADORA TIPS Pesos N-20'!$F$10="14% (Alto)",ROUND('Tabla de Amortizacion'!K41,8),IF('CALCULADORA TIPS Pesos N-20'!$F$10=20%,ROUND('Tabla de Amortizacion'!N41,8),ROUND('Tabla de Amortizacion'!Q41,8))))))</f>
        <v>0</v>
      </c>
      <c r="C40" s="117">
        <f>IF('CALCULADORA TIPS Pesos N-20'!$F$10="Contractual",ROUND('Tabla de Amortizacion'!C41,8),IF('CALCULADORA TIPS Pesos N-20'!$F$10="6% (Medio)",ROUND('Tabla de Amortizacion'!F41,8),IF('CALCULADORA TIPS Pesos N-20'!$F$10="10% (Medio Alto)",ROUND('Tabla de Amortizacion'!I41,8),IF('CALCULADORA TIPS Pesos N-20'!$F$10="14% (Alto)",ROUND('Tabla de Amortizacion'!L41,8),IF('CALCULADORA TIPS Pesos N-20'!$F$10=20%,ROUND('Tabla de Amortizacion'!O41,8),ROUND('Tabla de Amortizacion'!R41,8))))))</f>
        <v>0.01449764</v>
      </c>
    </row>
    <row r="41" spans="1:3" ht="12.75">
      <c r="A41" s="116">
        <f t="shared" si="1"/>
        <v>44961</v>
      </c>
      <c r="B41" s="117">
        <f>IF('CALCULADORA TIPS Pesos N-20'!$F$10="Contractual",ROUND('Tabla de Amortizacion'!B42,8),IF('CALCULADORA TIPS Pesos N-20'!$F$10="6% (Medio)",ROUND('Tabla de Amortizacion'!E42,8),IF('CALCULADORA TIPS Pesos N-20'!$F$10="10% (Medio Alto)",ROUND('Tabla de Amortizacion'!H42,8),IF('CALCULADORA TIPS Pesos N-20'!$F$10="14% (Alto)",ROUND('Tabla de Amortizacion'!K42,8),IF('CALCULADORA TIPS Pesos N-20'!$F$10=20%,ROUND('Tabla de Amortizacion'!N42,8),ROUND('Tabla de Amortizacion'!Q42,8))))))</f>
        <v>0</v>
      </c>
      <c r="C41" s="117">
        <f>IF('CALCULADORA TIPS Pesos N-20'!$F$10="Contractual",ROUND('Tabla de Amortizacion'!C42,8),IF('CALCULADORA TIPS Pesos N-20'!$F$10="6% (Medio)",ROUND('Tabla de Amortizacion'!F42,8),IF('CALCULADORA TIPS Pesos N-20'!$F$10="10% (Medio Alto)",ROUND('Tabla de Amortizacion'!I42,8),IF('CALCULADORA TIPS Pesos N-20'!$F$10="14% (Alto)",ROUND('Tabla de Amortizacion'!L42,8),IF('CALCULADORA TIPS Pesos N-20'!$F$10=20%,ROUND('Tabla de Amortizacion'!O42,8),ROUND('Tabla de Amortizacion'!R42,8))))))</f>
        <v>0.01422355</v>
      </c>
    </row>
    <row r="42" spans="1:3" ht="12.75">
      <c r="A42" s="116">
        <f t="shared" si="1"/>
        <v>44989</v>
      </c>
      <c r="B42" s="117">
        <f>IF('CALCULADORA TIPS Pesos N-20'!$F$10="Contractual",ROUND('Tabla de Amortizacion'!B43,8),IF('CALCULADORA TIPS Pesos N-20'!$F$10="6% (Medio)",ROUND('Tabla de Amortizacion'!E43,8),IF('CALCULADORA TIPS Pesos N-20'!$F$10="10% (Medio Alto)",ROUND('Tabla de Amortizacion'!H43,8),IF('CALCULADORA TIPS Pesos N-20'!$F$10="14% (Alto)",ROUND('Tabla de Amortizacion'!K43,8),IF('CALCULADORA TIPS Pesos N-20'!$F$10=20%,ROUND('Tabla de Amortizacion'!N43,8),ROUND('Tabla de Amortizacion'!Q43,8))))))</f>
        <v>0</v>
      </c>
      <c r="C42" s="117">
        <f>IF('CALCULADORA TIPS Pesos N-20'!$F$10="Contractual",ROUND('Tabla de Amortizacion'!C43,8),IF('CALCULADORA TIPS Pesos N-20'!$F$10="6% (Medio)",ROUND('Tabla de Amortizacion'!F43,8),IF('CALCULADORA TIPS Pesos N-20'!$F$10="10% (Medio Alto)",ROUND('Tabla de Amortizacion'!I43,8),IF('CALCULADORA TIPS Pesos N-20'!$F$10="14% (Alto)",ROUND('Tabla de Amortizacion'!L43,8),IF('CALCULADORA TIPS Pesos N-20'!$F$10=20%,ROUND('Tabla de Amortizacion'!O43,8),ROUND('Tabla de Amortizacion'!R43,8))))))</f>
        <v>0.01393622</v>
      </c>
    </row>
    <row r="43" spans="1:3" ht="12.75">
      <c r="A43" s="116">
        <f t="shared" si="1"/>
        <v>45020</v>
      </c>
      <c r="B43" s="117">
        <f>IF('CALCULADORA TIPS Pesos N-20'!$F$10="Contractual",ROUND('Tabla de Amortizacion'!B44,8),IF('CALCULADORA TIPS Pesos N-20'!$F$10="6% (Medio)",ROUND('Tabla de Amortizacion'!E44,8),IF('CALCULADORA TIPS Pesos N-20'!$F$10="10% (Medio Alto)",ROUND('Tabla de Amortizacion'!H44,8),IF('CALCULADORA TIPS Pesos N-20'!$F$10="14% (Alto)",ROUND('Tabla de Amortizacion'!K44,8),IF('CALCULADORA TIPS Pesos N-20'!$F$10=20%,ROUND('Tabla de Amortizacion'!N44,8),ROUND('Tabla de Amortizacion'!Q44,8))))))</f>
        <v>0</v>
      </c>
      <c r="C43" s="117">
        <f>IF('CALCULADORA TIPS Pesos N-20'!$F$10="Contractual",ROUND('Tabla de Amortizacion'!C44,8),IF('CALCULADORA TIPS Pesos N-20'!$F$10="6% (Medio)",ROUND('Tabla de Amortizacion'!F44,8),IF('CALCULADORA TIPS Pesos N-20'!$F$10="10% (Medio Alto)",ROUND('Tabla de Amortizacion'!I44,8),IF('CALCULADORA TIPS Pesos N-20'!$F$10="14% (Alto)",ROUND('Tabla de Amortizacion'!L44,8),IF('CALCULADORA TIPS Pesos N-20'!$F$10=20%,ROUND('Tabla de Amortizacion'!O44,8),ROUND('Tabla de Amortizacion'!R44,8))))))</f>
        <v>0.01366703</v>
      </c>
    </row>
    <row r="44" spans="1:3" ht="12.75">
      <c r="A44" s="116">
        <f t="shared" si="1"/>
        <v>45050</v>
      </c>
      <c r="B44" s="117">
        <f>IF('CALCULADORA TIPS Pesos N-20'!$F$10="Contractual",ROUND('Tabla de Amortizacion'!B45,8),IF('CALCULADORA TIPS Pesos N-20'!$F$10="6% (Medio)",ROUND('Tabla de Amortizacion'!E45,8),IF('CALCULADORA TIPS Pesos N-20'!$F$10="10% (Medio Alto)",ROUND('Tabla de Amortizacion'!H45,8),IF('CALCULADORA TIPS Pesos N-20'!$F$10="14% (Alto)",ROUND('Tabla de Amortizacion'!K45,8),IF('CALCULADORA TIPS Pesos N-20'!$F$10=20%,ROUND('Tabla de Amortizacion'!N45,8),ROUND('Tabla de Amortizacion'!Q45,8))))))</f>
        <v>0</v>
      </c>
      <c r="C44" s="117">
        <f>IF('CALCULADORA TIPS Pesos N-20'!$F$10="Contractual",ROUND('Tabla de Amortizacion'!C45,8),IF('CALCULADORA TIPS Pesos N-20'!$F$10="6% (Medio)",ROUND('Tabla de Amortizacion'!F45,8),IF('CALCULADORA TIPS Pesos N-20'!$F$10="10% (Medio Alto)",ROUND('Tabla de Amortizacion'!I45,8),IF('CALCULADORA TIPS Pesos N-20'!$F$10="14% (Alto)",ROUND('Tabla de Amortizacion'!L45,8),IF('CALCULADORA TIPS Pesos N-20'!$F$10=20%,ROUND('Tabla de Amortizacion'!O45,8),ROUND('Tabla de Amortizacion'!R45,8))))))</f>
        <v>0.01340383</v>
      </c>
    </row>
    <row r="45" spans="1:3" ht="12.75">
      <c r="A45" s="116">
        <f t="shared" si="1"/>
        <v>45081</v>
      </c>
      <c r="B45" s="117">
        <f>IF('CALCULADORA TIPS Pesos N-20'!$F$10="Contractual",ROUND('Tabla de Amortizacion'!B46,8),IF('CALCULADORA TIPS Pesos N-20'!$F$10="6% (Medio)",ROUND('Tabla de Amortizacion'!E46,8),IF('CALCULADORA TIPS Pesos N-20'!$F$10="10% (Medio Alto)",ROUND('Tabla de Amortizacion'!H46,8),IF('CALCULADORA TIPS Pesos N-20'!$F$10="14% (Alto)",ROUND('Tabla de Amortizacion'!K46,8),IF('CALCULADORA TIPS Pesos N-20'!$F$10=20%,ROUND('Tabla de Amortizacion'!N46,8),ROUND('Tabla de Amortizacion'!Q46,8))))))</f>
        <v>0</v>
      </c>
      <c r="C45" s="117">
        <f>IF('CALCULADORA TIPS Pesos N-20'!$F$10="Contractual",ROUND('Tabla de Amortizacion'!C46,8),IF('CALCULADORA TIPS Pesos N-20'!$F$10="6% (Medio)",ROUND('Tabla de Amortizacion'!F46,8),IF('CALCULADORA TIPS Pesos N-20'!$F$10="10% (Medio Alto)",ROUND('Tabla de Amortizacion'!I46,8),IF('CALCULADORA TIPS Pesos N-20'!$F$10="14% (Alto)",ROUND('Tabla de Amortizacion'!L46,8),IF('CALCULADORA TIPS Pesos N-20'!$F$10=20%,ROUND('Tabla de Amortizacion'!O46,8),ROUND('Tabla de Amortizacion'!R46,8))))))</f>
        <v>0.01313601</v>
      </c>
    </row>
    <row r="46" spans="1:3" ht="12.75">
      <c r="A46" s="116">
        <f t="shared" si="1"/>
        <v>45111</v>
      </c>
      <c r="B46" s="117">
        <f>IF('CALCULADORA TIPS Pesos N-20'!$F$10="Contractual",ROUND('Tabla de Amortizacion'!B47,8),IF('CALCULADORA TIPS Pesos N-20'!$F$10="6% (Medio)",ROUND('Tabla de Amortizacion'!E47,8),IF('CALCULADORA TIPS Pesos N-20'!$F$10="10% (Medio Alto)",ROUND('Tabla de Amortizacion'!H47,8),IF('CALCULADORA TIPS Pesos N-20'!$F$10="14% (Alto)",ROUND('Tabla de Amortizacion'!K47,8),IF('CALCULADORA TIPS Pesos N-20'!$F$10=20%,ROUND('Tabla de Amortizacion'!N47,8),ROUND('Tabla de Amortizacion'!Q47,8))))))</f>
        <v>0</v>
      </c>
      <c r="C46" s="117">
        <f>IF('CALCULADORA TIPS Pesos N-20'!$F$10="Contractual",ROUND('Tabla de Amortizacion'!C47,8),IF('CALCULADORA TIPS Pesos N-20'!$F$10="6% (Medio)",ROUND('Tabla de Amortizacion'!F47,8),IF('CALCULADORA TIPS Pesos N-20'!$F$10="10% (Medio Alto)",ROUND('Tabla de Amortizacion'!I47,8),IF('CALCULADORA TIPS Pesos N-20'!$F$10="14% (Alto)",ROUND('Tabla de Amortizacion'!L47,8),IF('CALCULADORA TIPS Pesos N-20'!$F$10=20%,ROUND('Tabla de Amortizacion'!O47,8),ROUND('Tabla de Amortizacion'!R47,8))))))</f>
        <v>0.01287877</v>
      </c>
    </row>
    <row r="47" spans="1:3" ht="12.75">
      <c r="A47" s="116">
        <f t="shared" si="1"/>
        <v>45142</v>
      </c>
      <c r="B47" s="117">
        <f>IF('CALCULADORA TIPS Pesos N-20'!$F$10="Contractual",ROUND('Tabla de Amortizacion'!B48,8),IF('CALCULADORA TIPS Pesos N-20'!$F$10="6% (Medio)",ROUND('Tabla de Amortizacion'!E48,8),IF('CALCULADORA TIPS Pesos N-20'!$F$10="10% (Medio Alto)",ROUND('Tabla de Amortizacion'!H48,8),IF('CALCULADORA TIPS Pesos N-20'!$F$10="14% (Alto)",ROUND('Tabla de Amortizacion'!K48,8),IF('CALCULADORA TIPS Pesos N-20'!$F$10=20%,ROUND('Tabla de Amortizacion'!N48,8),ROUND('Tabla de Amortizacion'!Q48,8))))))</f>
        <v>0</v>
      </c>
      <c r="C47" s="117">
        <f>IF('CALCULADORA TIPS Pesos N-20'!$F$10="Contractual",ROUND('Tabla de Amortizacion'!C48,8),IF('CALCULADORA TIPS Pesos N-20'!$F$10="6% (Medio)",ROUND('Tabla de Amortizacion'!F48,8),IF('CALCULADORA TIPS Pesos N-20'!$F$10="10% (Medio Alto)",ROUND('Tabla de Amortizacion'!I48,8),IF('CALCULADORA TIPS Pesos N-20'!$F$10="14% (Alto)",ROUND('Tabla de Amortizacion'!L48,8),IF('CALCULADORA TIPS Pesos N-20'!$F$10=20%,ROUND('Tabla de Amortizacion'!O48,8),ROUND('Tabla de Amortizacion'!R48,8))))))</f>
        <v>0.01263775</v>
      </c>
    </row>
    <row r="48" spans="1:3" ht="12.75">
      <c r="A48" s="116">
        <f t="shared" si="1"/>
        <v>45173</v>
      </c>
      <c r="B48" s="117">
        <f>IF('CALCULADORA TIPS Pesos N-20'!$F$10="Contractual",ROUND('Tabla de Amortizacion'!B49,8),IF('CALCULADORA TIPS Pesos N-20'!$F$10="6% (Medio)",ROUND('Tabla de Amortizacion'!E49,8),IF('CALCULADORA TIPS Pesos N-20'!$F$10="10% (Medio Alto)",ROUND('Tabla de Amortizacion'!H49,8),IF('CALCULADORA TIPS Pesos N-20'!$F$10="14% (Alto)",ROUND('Tabla de Amortizacion'!K49,8),IF('CALCULADORA TIPS Pesos N-20'!$F$10=20%,ROUND('Tabla de Amortizacion'!N49,8),ROUND('Tabla de Amortizacion'!Q49,8))))))</f>
        <v>0</v>
      </c>
      <c r="C48" s="117">
        <f>IF('CALCULADORA TIPS Pesos N-20'!$F$10="Contractual",ROUND('Tabla de Amortizacion'!C49,8),IF('CALCULADORA TIPS Pesos N-20'!$F$10="6% (Medio)",ROUND('Tabla de Amortizacion'!F49,8),IF('CALCULADORA TIPS Pesos N-20'!$F$10="10% (Medio Alto)",ROUND('Tabla de Amortizacion'!I49,8),IF('CALCULADORA TIPS Pesos N-20'!$F$10="14% (Alto)",ROUND('Tabla de Amortizacion'!L49,8),IF('CALCULADORA TIPS Pesos N-20'!$F$10=20%,ROUND('Tabla de Amortizacion'!O49,8),ROUND('Tabla de Amortizacion'!R49,8))))))</f>
        <v>0.01240649</v>
      </c>
    </row>
    <row r="49" spans="1:3" ht="12.75">
      <c r="A49" s="116">
        <f t="shared" si="1"/>
        <v>45203</v>
      </c>
      <c r="B49" s="117">
        <f>IF('CALCULADORA TIPS Pesos N-20'!$F$10="Contractual",ROUND('Tabla de Amortizacion'!B50,8),IF('CALCULADORA TIPS Pesos N-20'!$F$10="6% (Medio)",ROUND('Tabla de Amortizacion'!E50,8),IF('CALCULADORA TIPS Pesos N-20'!$F$10="10% (Medio Alto)",ROUND('Tabla de Amortizacion'!H50,8),IF('CALCULADORA TIPS Pesos N-20'!$F$10="14% (Alto)",ROUND('Tabla de Amortizacion'!K50,8),IF('CALCULADORA TIPS Pesos N-20'!$F$10=20%,ROUND('Tabla de Amortizacion'!N50,8),ROUND('Tabla de Amortizacion'!Q50,8))))))</f>
        <v>0</v>
      </c>
      <c r="C49" s="117">
        <f>IF('CALCULADORA TIPS Pesos N-20'!$F$10="Contractual",ROUND('Tabla de Amortizacion'!C50,8),IF('CALCULADORA TIPS Pesos N-20'!$F$10="6% (Medio)",ROUND('Tabla de Amortizacion'!F50,8),IF('CALCULADORA TIPS Pesos N-20'!$F$10="10% (Medio Alto)",ROUND('Tabla de Amortizacion'!I50,8),IF('CALCULADORA TIPS Pesos N-20'!$F$10="14% (Alto)",ROUND('Tabla de Amortizacion'!L50,8),IF('CALCULADORA TIPS Pesos N-20'!$F$10=20%,ROUND('Tabla de Amortizacion'!O50,8),ROUND('Tabla de Amortizacion'!R50,8))))))</f>
        <v>0.0121748</v>
      </c>
    </row>
    <row r="50" spans="1:3" ht="12.75">
      <c r="A50" s="116">
        <f t="shared" si="1"/>
        <v>45234</v>
      </c>
      <c r="B50" s="117">
        <f>IF('CALCULADORA TIPS Pesos N-20'!$F$10="Contractual",ROUND('Tabla de Amortizacion'!B51,8),IF('CALCULADORA TIPS Pesos N-20'!$F$10="6% (Medio)",ROUND('Tabla de Amortizacion'!E51,8),IF('CALCULADORA TIPS Pesos N-20'!$F$10="10% (Medio Alto)",ROUND('Tabla de Amortizacion'!H51,8),IF('CALCULADORA TIPS Pesos N-20'!$F$10="14% (Alto)",ROUND('Tabla de Amortizacion'!K51,8),IF('CALCULADORA TIPS Pesos N-20'!$F$10=20%,ROUND('Tabla de Amortizacion'!N51,8),ROUND('Tabla de Amortizacion'!Q51,8))))))</f>
        <v>0</v>
      </c>
      <c r="C50" s="117">
        <f>IF('CALCULADORA TIPS Pesos N-20'!$F$10="Contractual",ROUND('Tabla de Amortizacion'!C51,8),IF('CALCULADORA TIPS Pesos N-20'!$F$10="6% (Medio)",ROUND('Tabla de Amortizacion'!F51,8),IF('CALCULADORA TIPS Pesos N-20'!$F$10="10% (Medio Alto)",ROUND('Tabla de Amortizacion'!I51,8),IF('CALCULADORA TIPS Pesos N-20'!$F$10="14% (Alto)",ROUND('Tabla de Amortizacion'!L51,8),IF('CALCULADORA TIPS Pesos N-20'!$F$10=20%,ROUND('Tabla de Amortizacion'!O51,8),ROUND('Tabla de Amortizacion'!R51,8))))))</f>
        <v>0.01194372</v>
      </c>
    </row>
    <row r="51" spans="1:3" ht="12.75">
      <c r="A51" s="116">
        <f t="shared" si="1"/>
        <v>45264</v>
      </c>
      <c r="B51" s="117">
        <f>IF('CALCULADORA TIPS Pesos N-20'!$F$10="Contractual",ROUND('Tabla de Amortizacion'!B52,8),IF('CALCULADORA TIPS Pesos N-20'!$F$10="6% (Medio)",ROUND('Tabla de Amortizacion'!E52,8),IF('CALCULADORA TIPS Pesos N-20'!$F$10="10% (Medio Alto)",ROUND('Tabla de Amortizacion'!H52,8),IF('CALCULADORA TIPS Pesos N-20'!$F$10="14% (Alto)",ROUND('Tabla de Amortizacion'!K52,8),IF('CALCULADORA TIPS Pesos N-20'!$F$10=20%,ROUND('Tabla de Amortizacion'!N52,8),ROUND('Tabla de Amortizacion'!Q52,8))))))</f>
        <v>0</v>
      </c>
      <c r="C51" s="117">
        <f>IF('CALCULADORA TIPS Pesos N-20'!$F$10="Contractual",ROUND('Tabla de Amortizacion'!C52,8),IF('CALCULADORA TIPS Pesos N-20'!$F$10="6% (Medio)",ROUND('Tabla de Amortizacion'!F52,8),IF('CALCULADORA TIPS Pesos N-20'!$F$10="10% (Medio Alto)",ROUND('Tabla de Amortizacion'!I52,8),IF('CALCULADORA TIPS Pesos N-20'!$F$10="14% (Alto)",ROUND('Tabla de Amortizacion'!L52,8),IF('CALCULADORA TIPS Pesos N-20'!$F$10=20%,ROUND('Tabla de Amortizacion'!O52,8),ROUND('Tabla de Amortizacion'!R52,8))))))</f>
        <v>0.01171298</v>
      </c>
    </row>
    <row r="52" spans="1:3" ht="12.75">
      <c r="A52" s="116">
        <f t="shared" si="1"/>
        <v>45295</v>
      </c>
      <c r="B52" s="117">
        <f>IF('CALCULADORA TIPS Pesos N-20'!$F$10="Contractual",ROUND('Tabla de Amortizacion'!B53,8),IF('CALCULADORA TIPS Pesos N-20'!$F$10="6% (Medio)",ROUND('Tabla de Amortizacion'!E53,8),IF('CALCULADORA TIPS Pesos N-20'!$F$10="10% (Medio Alto)",ROUND('Tabla de Amortizacion'!H53,8),IF('CALCULADORA TIPS Pesos N-20'!$F$10="14% (Alto)",ROUND('Tabla de Amortizacion'!K53,8),IF('CALCULADORA TIPS Pesos N-20'!$F$10=20%,ROUND('Tabla de Amortizacion'!N53,8),ROUND('Tabla de Amortizacion'!Q53,8))))))</f>
        <v>0</v>
      </c>
      <c r="C52" s="117">
        <f>IF('CALCULADORA TIPS Pesos N-20'!$F$10="Contractual",ROUND('Tabla de Amortizacion'!C53,8),IF('CALCULADORA TIPS Pesos N-20'!$F$10="6% (Medio)",ROUND('Tabla de Amortizacion'!F53,8),IF('CALCULADORA TIPS Pesos N-20'!$F$10="10% (Medio Alto)",ROUND('Tabla de Amortizacion'!I53,8),IF('CALCULADORA TIPS Pesos N-20'!$F$10="14% (Alto)",ROUND('Tabla de Amortizacion'!L53,8),IF('CALCULADORA TIPS Pesos N-20'!$F$10=20%,ROUND('Tabla de Amortizacion'!O53,8),ROUND('Tabla de Amortizacion'!R53,8))))))</f>
        <v>0.01147675</v>
      </c>
    </row>
    <row r="53" spans="1:3" ht="12.75">
      <c r="A53" s="116">
        <f t="shared" si="1"/>
        <v>45326</v>
      </c>
      <c r="B53" s="117">
        <f>IF('CALCULADORA TIPS Pesos N-20'!$F$10="Contractual",ROUND('Tabla de Amortizacion'!B54,8),IF('CALCULADORA TIPS Pesos N-20'!$F$10="6% (Medio)",ROUND('Tabla de Amortizacion'!E54,8),IF('CALCULADORA TIPS Pesos N-20'!$F$10="10% (Medio Alto)",ROUND('Tabla de Amortizacion'!H54,8),IF('CALCULADORA TIPS Pesos N-20'!$F$10="14% (Alto)",ROUND('Tabla de Amortizacion'!K54,8),IF('CALCULADORA TIPS Pesos N-20'!$F$10=20%,ROUND('Tabla de Amortizacion'!N54,8),ROUND('Tabla de Amortizacion'!Q54,8))))))</f>
        <v>0</v>
      </c>
      <c r="C53" s="117">
        <f>IF('CALCULADORA TIPS Pesos N-20'!$F$10="Contractual",ROUND('Tabla de Amortizacion'!C54,8),IF('CALCULADORA TIPS Pesos N-20'!$F$10="6% (Medio)",ROUND('Tabla de Amortizacion'!F54,8),IF('CALCULADORA TIPS Pesos N-20'!$F$10="10% (Medio Alto)",ROUND('Tabla de Amortizacion'!I54,8),IF('CALCULADORA TIPS Pesos N-20'!$F$10="14% (Alto)",ROUND('Tabla de Amortizacion'!L54,8),IF('CALCULADORA TIPS Pesos N-20'!$F$10=20%,ROUND('Tabla de Amortizacion'!O54,8),ROUND('Tabla de Amortizacion'!R54,8))))))</f>
        <v>0.01125007</v>
      </c>
    </row>
    <row r="54" spans="1:3" ht="12.75">
      <c r="A54" s="116">
        <f t="shared" si="1"/>
        <v>45355</v>
      </c>
      <c r="B54" s="117">
        <f>IF('CALCULADORA TIPS Pesos N-20'!$F$10="Contractual",ROUND('Tabla de Amortizacion'!B55,8),IF('CALCULADORA TIPS Pesos N-20'!$F$10="6% (Medio)",ROUND('Tabla de Amortizacion'!E55,8),IF('CALCULADORA TIPS Pesos N-20'!$F$10="10% (Medio Alto)",ROUND('Tabla de Amortizacion'!H55,8),IF('CALCULADORA TIPS Pesos N-20'!$F$10="14% (Alto)",ROUND('Tabla de Amortizacion'!K55,8),IF('CALCULADORA TIPS Pesos N-20'!$F$10=20%,ROUND('Tabla de Amortizacion'!N55,8),ROUND('Tabla de Amortizacion'!Q55,8))))))</f>
        <v>0</v>
      </c>
      <c r="C54" s="117">
        <f>IF('CALCULADORA TIPS Pesos N-20'!$F$10="Contractual",ROUND('Tabla de Amortizacion'!C55,8),IF('CALCULADORA TIPS Pesos N-20'!$F$10="6% (Medio)",ROUND('Tabla de Amortizacion'!F55,8),IF('CALCULADORA TIPS Pesos N-20'!$F$10="10% (Medio Alto)",ROUND('Tabla de Amortizacion'!I55,8),IF('CALCULADORA TIPS Pesos N-20'!$F$10="14% (Alto)",ROUND('Tabla de Amortizacion'!L55,8),IF('CALCULADORA TIPS Pesos N-20'!$F$10=20%,ROUND('Tabla de Amortizacion'!O55,8),ROUND('Tabla de Amortizacion'!R55,8))))))</f>
        <v>0.01103122</v>
      </c>
    </row>
    <row r="55" spans="1:3" ht="12.75">
      <c r="A55" s="116">
        <f t="shared" si="1"/>
        <v>45386</v>
      </c>
      <c r="B55" s="117">
        <f>IF('CALCULADORA TIPS Pesos N-20'!$F$10="Contractual",ROUND('Tabla de Amortizacion'!B56,8),IF('CALCULADORA TIPS Pesos N-20'!$F$10="6% (Medio)",ROUND('Tabla de Amortizacion'!E56,8),IF('CALCULADORA TIPS Pesos N-20'!$F$10="10% (Medio Alto)",ROUND('Tabla de Amortizacion'!H56,8),IF('CALCULADORA TIPS Pesos N-20'!$F$10="14% (Alto)",ROUND('Tabla de Amortizacion'!K56,8),IF('CALCULADORA TIPS Pesos N-20'!$F$10=20%,ROUND('Tabla de Amortizacion'!N56,8),ROUND('Tabla de Amortizacion'!Q56,8))))))</f>
        <v>0</v>
      </c>
      <c r="C55" s="117">
        <f>IF('CALCULADORA TIPS Pesos N-20'!$F$10="Contractual",ROUND('Tabla de Amortizacion'!C56,8),IF('CALCULADORA TIPS Pesos N-20'!$F$10="6% (Medio)",ROUND('Tabla de Amortizacion'!F56,8),IF('CALCULADORA TIPS Pesos N-20'!$F$10="10% (Medio Alto)",ROUND('Tabla de Amortizacion'!I56,8),IF('CALCULADORA TIPS Pesos N-20'!$F$10="14% (Alto)",ROUND('Tabla de Amortizacion'!L56,8),IF('CALCULADORA TIPS Pesos N-20'!$F$10=20%,ROUND('Tabla de Amortizacion'!O56,8),ROUND('Tabla de Amortizacion'!R56,8))))))</f>
        <v>0.01081263</v>
      </c>
    </row>
    <row r="56" spans="1:3" ht="12.75">
      <c r="A56" s="116">
        <f t="shared" si="1"/>
        <v>45416</v>
      </c>
      <c r="B56" s="117">
        <f>IF('CALCULADORA TIPS Pesos N-20'!$F$10="Contractual",ROUND('Tabla de Amortizacion'!B57,8),IF('CALCULADORA TIPS Pesos N-20'!$F$10="6% (Medio)",ROUND('Tabla de Amortizacion'!E57,8),IF('CALCULADORA TIPS Pesos N-20'!$F$10="10% (Medio Alto)",ROUND('Tabla de Amortizacion'!H57,8),IF('CALCULADORA TIPS Pesos N-20'!$F$10="14% (Alto)",ROUND('Tabla de Amortizacion'!K57,8),IF('CALCULADORA TIPS Pesos N-20'!$F$10=20%,ROUND('Tabla de Amortizacion'!N57,8),ROUND('Tabla de Amortizacion'!Q57,8))))))</f>
        <v>0</v>
      </c>
      <c r="C56" s="117">
        <f>IF('CALCULADORA TIPS Pesos N-20'!$F$10="Contractual",ROUND('Tabla de Amortizacion'!C57,8),IF('CALCULADORA TIPS Pesos N-20'!$F$10="6% (Medio)",ROUND('Tabla de Amortizacion'!F57,8),IF('CALCULADORA TIPS Pesos N-20'!$F$10="10% (Medio Alto)",ROUND('Tabla de Amortizacion'!I57,8),IF('CALCULADORA TIPS Pesos N-20'!$F$10="14% (Alto)",ROUND('Tabla de Amortizacion'!L57,8),IF('CALCULADORA TIPS Pesos N-20'!$F$10=20%,ROUND('Tabla de Amortizacion'!O57,8),ROUND('Tabla de Amortizacion'!R57,8))))))</f>
        <v>0.01059611</v>
      </c>
    </row>
    <row r="57" spans="1:3" ht="12.75">
      <c r="A57" s="116">
        <f t="shared" si="1"/>
        <v>45447</v>
      </c>
      <c r="B57" s="117">
        <f>IF('CALCULADORA TIPS Pesos N-20'!$F$10="Contractual",ROUND('Tabla de Amortizacion'!B58,8),IF('CALCULADORA TIPS Pesos N-20'!$F$10="6% (Medio)",ROUND('Tabla de Amortizacion'!E58,8),IF('CALCULADORA TIPS Pesos N-20'!$F$10="10% (Medio Alto)",ROUND('Tabla de Amortizacion'!H58,8),IF('CALCULADORA TIPS Pesos N-20'!$F$10="14% (Alto)",ROUND('Tabla de Amortizacion'!K58,8),IF('CALCULADORA TIPS Pesos N-20'!$F$10=20%,ROUND('Tabla de Amortizacion'!N58,8),ROUND('Tabla de Amortizacion'!Q58,8))))))</f>
        <v>0</v>
      </c>
      <c r="C57" s="117">
        <f>IF('CALCULADORA TIPS Pesos N-20'!$F$10="Contractual",ROUND('Tabla de Amortizacion'!C58,8),IF('CALCULADORA TIPS Pesos N-20'!$F$10="6% (Medio)",ROUND('Tabla de Amortizacion'!F58,8),IF('CALCULADORA TIPS Pesos N-20'!$F$10="10% (Medio Alto)",ROUND('Tabla de Amortizacion'!I58,8),IF('CALCULADORA TIPS Pesos N-20'!$F$10="14% (Alto)",ROUND('Tabla de Amortizacion'!L58,8),IF('CALCULADORA TIPS Pesos N-20'!$F$10=20%,ROUND('Tabla de Amortizacion'!O58,8),ROUND('Tabla de Amortizacion'!R58,8))))))</f>
        <v>0.01039555</v>
      </c>
    </row>
    <row r="58" spans="1:3" ht="12.75">
      <c r="A58" s="116">
        <f t="shared" si="1"/>
        <v>45477</v>
      </c>
      <c r="B58" s="117">
        <f>IF('CALCULADORA TIPS Pesos N-20'!$F$10="Contractual",ROUND('Tabla de Amortizacion'!B59,8),IF('CALCULADORA TIPS Pesos N-20'!$F$10="6% (Medio)",ROUND('Tabla de Amortizacion'!E59,8),IF('CALCULADORA TIPS Pesos N-20'!$F$10="10% (Medio Alto)",ROUND('Tabla de Amortizacion'!H59,8),IF('CALCULADORA TIPS Pesos N-20'!$F$10="14% (Alto)",ROUND('Tabla de Amortizacion'!K59,8),IF('CALCULADORA TIPS Pesos N-20'!$F$10=20%,ROUND('Tabla de Amortizacion'!N59,8),ROUND('Tabla de Amortizacion'!Q59,8))))))</f>
        <v>0</v>
      </c>
      <c r="C58" s="117">
        <f>IF('CALCULADORA TIPS Pesos N-20'!$F$10="Contractual",ROUND('Tabla de Amortizacion'!C59,8),IF('CALCULADORA TIPS Pesos N-20'!$F$10="6% (Medio)",ROUND('Tabla de Amortizacion'!F59,8),IF('CALCULADORA TIPS Pesos N-20'!$F$10="10% (Medio Alto)",ROUND('Tabla de Amortizacion'!I59,8),IF('CALCULADORA TIPS Pesos N-20'!$F$10="14% (Alto)",ROUND('Tabla de Amortizacion'!L59,8),IF('CALCULADORA TIPS Pesos N-20'!$F$10=20%,ROUND('Tabla de Amortizacion'!O59,8),ROUND('Tabla de Amortizacion'!R59,8))))))</f>
        <v>0.01019788</v>
      </c>
    </row>
    <row r="59" spans="1:3" ht="12.75">
      <c r="A59" s="116">
        <f t="shared" si="1"/>
        <v>45508</v>
      </c>
      <c r="B59" s="117">
        <f>IF('CALCULADORA TIPS Pesos N-20'!$F$10="Contractual",ROUND('Tabla de Amortizacion'!B60,8),IF('CALCULADORA TIPS Pesos N-20'!$F$10="6% (Medio)",ROUND('Tabla de Amortizacion'!E60,8),IF('CALCULADORA TIPS Pesos N-20'!$F$10="10% (Medio Alto)",ROUND('Tabla de Amortizacion'!H60,8),IF('CALCULADORA TIPS Pesos N-20'!$F$10="14% (Alto)",ROUND('Tabla de Amortizacion'!K60,8),IF('CALCULADORA TIPS Pesos N-20'!$F$10=20%,ROUND('Tabla de Amortizacion'!N60,8),ROUND('Tabla de Amortizacion'!Q60,8))))))</f>
        <v>0</v>
      </c>
      <c r="C59" s="117">
        <f>IF('CALCULADORA TIPS Pesos N-20'!$F$10="Contractual",ROUND('Tabla de Amortizacion'!C60,8),IF('CALCULADORA TIPS Pesos N-20'!$F$10="6% (Medio)",ROUND('Tabla de Amortizacion'!F60,8),IF('CALCULADORA TIPS Pesos N-20'!$F$10="10% (Medio Alto)",ROUND('Tabla de Amortizacion'!I60,8),IF('CALCULADORA TIPS Pesos N-20'!$F$10="14% (Alto)",ROUND('Tabla de Amortizacion'!L60,8),IF('CALCULADORA TIPS Pesos N-20'!$F$10=20%,ROUND('Tabla de Amortizacion'!O60,8),ROUND('Tabla de Amortizacion'!R60,8))))))</f>
        <v>0.01012693</v>
      </c>
    </row>
    <row r="60" spans="1:3" ht="12.75">
      <c r="A60" s="116">
        <f t="shared" si="1"/>
        <v>45539</v>
      </c>
      <c r="B60" s="117">
        <f>IF('CALCULADORA TIPS Pesos N-20'!$F$10="Contractual",ROUND('Tabla de Amortizacion'!B61,8),IF('CALCULADORA TIPS Pesos N-20'!$F$10="6% (Medio)",ROUND('Tabla de Amortizacion'!E61,8),IF('CALCULADORA TIPS Pesos N-20'!$F$10="10% (Medio Alto)",ROUND('Tabla de Amortizacion'!H61,8),IF('CALCULADORA TIPS Pesos N-20'!$F$10="14% (Alto)",ROUND('Tabla de Amortizacion'!K61,8),IF('CALCULADORA TIPS Pesos N-20'!$F$10=20%,ROUND('Tabla de Amortizacion'!N61,8),ROUND('Tabla de Amortizacion'!Q61,8))))))</f>
        <v>0</v>
      </c>
      <c r="C60" s="117">
        <f>IF('CALCULADORA TIPS Pesos N-20'!$F$10="Contractual",ROUND('Tabla de Amortizacion'!C61,8),IF('CALCULADORA TIPS Pesos N-20'!$F$10="6% (Medio)",ROUND('Tabla de Amortizacion'!F61,8),IF('CALCULADORA TIPS Pesos N-20'!$F$10="10% (Medio Alto)",ROUND('Tabla de Amortizacion'!I61,8),IF('CALCULADORA TIPS Pesos N-20'!$F$10="14% (Alto)",ROUND('Tabla de Amortizacion'!L61,8),IF('CALCULADORA TIPS Pesos N-20'!$F$10=20%,ROUND('Tabla de Amortizacion'!O61,8),ROUND('Tabla de Amortizacion'!R61,8))))))</f>
        <v>0.01210374</v>
      </c>
    </row>
    <row r="61" spans="1:3" ht="12.75">
      <c r="A61" s="116">
        <f t="shared" si="1"/>
        <v>45569</v>
      </c>
      <c r="B61" s="117">
        <f>IF('CALCULADORA TIPS Pesos N-20'!$F$10="Contractual",ROUND('Tabla de Amortizacion'!B62,8),IF('CALCULADORA TIPS Pesos N-20'!$F$10="6% (Medio)",ROUND('Tabla de Amortizacion'!E62,8),IF('CALCULADORA TIPS Pesos N-20'!$F$10="10% (Medio Alto)",ROUND('Tabla de Amortizacion'!H62,8),IF('CALCULADORA TIPS Pesos N-20'!$F$10="14% (Alto)",ROUND('Tabla de Amortizacion'!K62,8),IF('CALCULADORA TIPS Pesos N-20'!$F$10=20%,ROUND('Tabla de Amortizacion'!N62,8),ROUND('Tabla de Amortizacion'!Q62,8))))))</f>
        <v>0</v>
      </c>
      <c r="C61" s="117">
        <f>IF('CALCULADORA TIPS Pesos N-20'!$F$10="Contractual",ROUND('Tabla de Amortizacion'!C62,8),IF('CALCULADORA TIPS Pesos N-20'!$F$10="6% (Medio)",ROUND('Tabla de Amortizacion'!F62,8),IF('CALCULADORA TIPS Pesos N-20'!$F$10="10% (Medio Alto)",ROUND('Tabla de Amortizacion'!I62,8),IF('CALCULADORA TIPS Pesos N-20'!$F$10="14% (Alto)",ROUND('Tabla de Amortizacion'!L62,8),IF('CALCULADORA TIPS Pesos N-20'!$F$10=20%,ROUND('Tabla de Amortizacion'!O62,8),ROUND('Tabla de Amortizacion'!R62,8))))))</f>
        <v>0.01158874</v>
      </c>
    </row>
    <row r="62" spans="1:3" ht="12.75">
      <c r="A62" s="116">
        <f t="shared" si="1"/>
        <v>45600</v>
      </c>
      <c r="B62" s="117">
        <f>IF('CALCULADORA TIPS Pesos N-20'!$F$10="Contractual",ROUND('Tabla de Amortizacion'!B63,8),IF('CALCULADORA TIPS Pesos N-20'!$F$10="6% (Medio)",ROUND('Tabla de Amortizacion'!E63,8),IF('CALCULADORA TIPS Pesos N-20'!$F$10="10% (Medio Alto)",ROUND('Tabla de Amortizacion'!H63,8),IF('CALCULADORA TIPS Pesos N-20'!$F$10="14% (Alto)",ROUND('Tabla de Amortizacion'!K63,8),IF('CALCULADORA TIPS Pesos N-20'!$F$10=20%,ROUND('Tabla de Amortizacion'!N63,8),ROUND('Tabla de Amortizacion'!Q63,8))))))</f>
        <v>0</v>
      </c>
      <c r="C62" s="117">
        <f>IF('CALCULADORA TIPS Pesos N-20'!$F$10="Contractual",ROUND('Tabla de Amortizacion'!C63,8),IF('CALCULADORA TIPS Pesos N-20'!$F$10="6% (Medio)",ROUND('Tabla de Amortizacion'!F63,8),IF('CALCULADORA TIPS Pesos N-20'!$F$10="10% (Medio Alto)",ROUND('Tabla de Amortizacion'!I63,8),IF('CALCULADORA TIPS Pesos N-20'!$F$10="14% (Alto)",ROUND('Tabla de Amortizacion'!L63,8),IF('CALCULADORA TIPS Pesos N-20'!$F$10=20%,ROUND('Tabla de Amortizacion'!O63,8),ROUND('Tabla de Amortizacion'!R63,8))))))</f>
        <v>0.01166231</v>
      </c>
    </row>
    <row r="63" spans="1:3" ht="12.75">
      <c r="A63" s="116">
        <f t="shared" si="1"/>
        <v>45630</v>
      </c>
      <c r="B63" s="117">
        <f>IF('CALCULADORA TIPS Pesos N-20'!$F$10="Contractual",ROUND('Tabla de Amortizacion'!B64,8),IF('CALCULADORA TIPS Pesos N-20'!$F$10="6% (Medio)",ROUND('Tabla de Amortizacion'!E64,8),IF('CALCULADORA TIPS Pesos N-20'!$F$10="10% (Medio Alto)",ROUND('Tabla de Amortizacion'!H64,8),IF('CALCULADORA TIPS Pesos N-20'!$F$10="14% (Alto)",ROUND('Tabla de Amortizacion'!K64,8),IF('CALCULADORA TIPS Pesos N-20'!$F$10=20%,ROUND('Tabla de Amortizacion'!N64,8),ROUND('Tabla de Amortizacion'!Q64,8))))))</f>
        <v>0</v>
      </c>
      <c r="C63" s="117">
        <f>IF('CALCULADORA TIPS Pesos N-20'!$F$10="Contractual",ROUND('Tabla de Amortizacion'!C64,8),IF('CALCULADORA TIPS Pesos N-20'!$F$10="6% (Medio)",ROUND('Tabla de Amortizacion'!F64,8),IF('CALCULADORA TIPS Pesos N-20'!$F$10="10% (Medio Alto)",ROUND('Tabla de Amortizacion'!I64,8),IF('CALCULADORA TIPS Pesos N-20'!$F$10="14% (Alto)",ROUND('Tabla de Amortizacion'!L64,8),IF('CALCULADORA TIPS Pesos N-20'!$F$10=20%,ROUND('Tabla de Amortizacion'!O64,8),ROUND('Tabla de Amortizacion'!R64,8))))))</f>
        <v>0.01144486</v>
      </c>
    </row>
    <row r="64" spans="1:3" ht="12.75">
      <c r="A64" s="116">
        <f t="shared" si="1"/>
        <v>45661</v>
      </c>
      <c r="B64" s="117">
        <f>IF('CALCULADORA TIPS Pesos N-20'!$F$10="Contractual",ROUND('Tabla de Amortizacion'!B65,8),IF('CALCULADORA TIPS Pesos N-20'!$F$10="6% (Medio)",ROUND('Tabla de Amortizacion'!E65,8),IF('CALCULADORA TIPS Pesos N-20'!$F$10="10% (Medio Alto)",ROUND('Tabla de Amortizacion'!H65,8),IF('CALCULADORA TIPS Pesos N-20'!$F$10="14% (Alto)",ROUND('Tabla de Amortizacion'!K65,8),IF('CALCULADORA TIPS Pesos N-20'!$F$10=20%,ROUND('Tabla de Amortizacion'!N65,8),ROUND('Tabla de Amortizacion'!Q65,8))))))</f>
        <v>0</v>
      </c>
      <c r="C64" s="117">
        <f>IF('CALCULADORA TIPS Pesos N-20'!$F$10="Contractual",ROUND('Tabla de Amortizacion'!C65,8),IF('CALCULADORA TIPS Pesos N-20'!$F$10="6% (Medio)",ROUND('Tabla de Amortizacion'!F65,8),IF('CALCULADORA TIPS Pesos N-20'!$F$10="10% (Medio Alto)",ROUND('Tabla de Amortizacion'!I65,8),IF('CALCULADORA TIPS Pesos N-20'!$F$10="14% (Alto)",ROUND('Tabla de Amortizacion'!L65,8),IF('CALCULADORA TIPS Pesos N-20'!$F$10=20%,ROUND('Tabla de Amortizacion'!O65,8),ROUND('Tabla de Amortizacion'!R65,8))))))</f>
        <v>0.01120834</v>
      </c>
    </row>
    <row r="65" spans="1:3" ht="12.75">
      <c r="A65" s="116">
        <f t="shared" si="1"/>
        <v>45692</v>
      </c>
      <c r="B65" s="117">
        <f>IF('CALCULADORA TIPS Pesos N-20'!$F$10="Contractual",ROUND('Tabla de Amortizacion'!B66,8),IF('CALCULADORA TIPS Pesos N-20'!$F$10="6% (Medio)",ROUND('Tabla de Amortizacion'!E66,8),IF('CALCULADORA TIPS Pesos N-20'!$F$10="10% (Medio Alto)",ROUND('Tabla de Amortizacion'!H66,8),IF('CALCULADORA TIPS Pesos N-20'!$F$10="14% (Alto)",ROUND('Tabla de Amortizacion'!K66,8),IF('CALCULADORA TIPS Pesos N-20'!$F$10=20%,ROUND('Tabla de Amortizacion'!N66,8),ROUND('Tabla de Amortizacion'!Q66,8))))))</f>
        <v>0</v>
      </c>
      <c r="C65" s="117">
        <f>IF('CALCULADORA TIPS Pesos N-20'!$F$10="Contractual",ROUND('Tabla de Amortizacion'!C66,8),IF('CALCULADORA TIPS Pesos N-20'!$F$10="6% (Medio)",ROUND('Tabla de Amortizacion'!F66,8),IF('CALCULADORA TIPS Pesos N-20'!$F$10="10% (Medio Alto)",ROUND('Tabla de Amortizacion'!I66,8),IF('CALCULADORA TIPS Pesos N-20'!$F$10="14% (Alto)",ROUND('Tabla de Amortizacion'!L66,8),IF('CALCULADORA TIPS Pesos N-20'!$F$10=20%,ROUND('Tabla de Amortizacion'!O66,8),ROUND('Tabla de Amortizacion'!R66,8))))))</f>
        <v>0.01100694</v>
      </c>
    </row>
    <row r="66" spans="1:3" ht="12.75">
      <c r="A66" s="116">
        <f t="shared" si="1"/>
        <v>45720</v>
      </c>
      <c r="B66" s="117">
        <f>IF('CALCULADORA TIPS Pesos N-20'!$F$10="Contractual",ROUND('Tabla de Amortizacion'!B67,8),IF('CALCULADORA TIPS Pesos N-20'!$F$10="6% (Medio)",ROUND('Tabla de Amortizacion'!E67,8),IF('CALCULADORA TIPS Pesos N-20'!$F$10="10% (Medio Alto)",ROUND('Tabla de Amortizacion'!H67,8),IF('CALCULADORA TIPS Pesos N-20'!$F$10="14% (Alto)",ROUND('Tabla de Amortizacion'!K67,8),IF('CALCULADORA TIPS Pesos N-20'!$F$10=20%,ROUND('Tabla de Amortizacion'!N67,8),ROUND('Tabla de Amortizacion'!Q67,8))))))</f>
        <v>0</v>
      </c>
      <c r="C66" s="117">
        <f>IF('CALCULADORA TIPS Pesos N-20'!$F$10="Contractual",ROUND('Tabla de Amortizacion'!C67,8),IF('CALCULADORA TIPS Pesos N-20'!$F$10="6% (Medio)",ROUND('Tabla de Amortizacion'!F67,8),IF('CALCULADORA TIPS Pesos N-20'!$F$10="10% (Medio Alto)",ROUND('Tabla de Amortizacion'!I67,8),IF('CALCULADORA TIPS Pesos N-20'!$F$10="14% (Alto)",ROUND('Tabla de Amortizacion'!L67,8),IF('CALCULADORA TIPS Pesos N-20'!$F$10=20%,ROUND('Tabla de Amortizacion'!O67,8),ROUND('Tabla de Amortizacion'!R67,8))))))</f>
        <v>0.01081533</v>
      </c>
    </row>
    <row r="67" spans="1:3" ht="12.75">
      <c r="A67" s="116">
        <f aca="true" t="shared" si="2" ref="A67:A98">_XLL.FECHA.MES(A66,1)</f>
        <v>45751</v>
      </c>
      <c r="B67" s="117">
        <f>IF('CALCULADORA TIPS Pesos N-20'!$F$10="Contractual",ROUND('Tabla de Amortizacion'!B68,8),IF('CALCULADORA TIPS Pesos N-20'!$F$10="6% (Medio)",ROUND('Tabla de Amortizacion'!E68,8),IF('CALCULADORA TIPS Pesos N-20'!$F$10="10% (Medio Alto)",ROUND('Tabla de Amortizacion'!H68,8),IF('CALCULADORA TIPS Pesos N-20'!$F$10="14% (Alto)",ROUND('Tabla de Amortizacion'!K68,8),IF('CALCULADORA TIPS Pesos N-20'!$F$10=20%,ROUND('Tabla de Amortizacion'!N68,8),ROUND('Tabla de Amortizacion'!Q68,8))))))</f>
        <v>0</v>
      </c>
      <c r="C67" s="117">
        <f>IF('CALCULADORA TIPS Pesos N-20'!$F$10="Contractual",ROUND('Tabla de Amortizacion'!C68,8),IF('CALCULADORA TIPS Pesos N-20'!$F$10="6% (Medio)",ROUND('Tabla de Amortizacion'!F68,8),IF('CALCULADORA TIPS Pesos N-20'!$F$10="10% (Medio Alto)",ROUND('Tabla de Amortizacion'!I68,8),IF('CALCULADORA TIPS Pesos N-20'!$F$10="14% (Alto)",ROUND('Tabla de Amortizacion'!L68,8),IF('CALCULADORA TIPS Pesos N-20'!$F$10=20%,ROUND('Tabla de Amortizacion'!O68,8),ROUND('Tabla de Amortizacion'!R68,8))))))</f>
        <v>0.01061737</v>
      </c>
    </row>
    <row r="68" spans="1:3" ht="12.75">
      <c r="A68" s="116">
        <f t="shared" si="2"/>
        <v>45781</v>
      </c>
      <c r="B68" s="117">
        <f>IF('CALCULADORA TIPS Pesos N-20'!$F$10="Contractual",ROUND('Tabla de Amortizacion'!B69,8),IF('CALCULADORA TIPS Pesos N-20'!$F$10="6% (Medio)",ROUND('Tabla de Amortizacion'!E69,8),IF('CALCULADORA TIPS Pesos N-20'!$F$10="10% (Medio Alto)",ROUND('Tabla de Amortizacion'!H69,8),IF('CALCULADORA TIPS Pesos N-20'!$F$10="14% (Alto)",ROUND('Tabla de Amortizacion'!K69,8),IF('CALCULADORA TIPS Pesos N-20'!$F$10=20%,ROUND('Tabla de Amortizacion'!N69,8),ROUND('Tabla de Amortizacion'!Q69,8))))))</f>
        <v>0</v>
      </c>
      <c r="C68" s="117">
        <f>IF('CALCULADORA TIPS Pesos N-20'!$F$10="Contractual",ROUND('Tabla de Amortizacion'!C69,8),IF('CALCULADORA TIPS Pesos N-20'!$F$10="6% (Medio)",ROUND('Tabla de Amortizacion'!F69,8),IF('CALCULADORA TIPS Pesos N-20'!$F$10="10% (Medio Alto)",ROUND('Tabla de Amortizacion'!I69,8),IF('CALCULADORA TIPS Pesos N-20'!$F$10="14% (Alto)",ROUND('Tabla de Amortizacion'!L69,8),IF('CALCULADORA TIPS Pesos N-20'!$F$10=20%,ROUND('Tabla de Amortizacion'!O69,8),ROUND('Tabla de Amortizacion'!R69,8))))))</f>
        <v>0.01042638</v>
      </c>
    </row>
    <row r="69" spans="1:3" ht="12.75">
      <c r="A69" s="116">
        <f t="shared" si="2"/>
        <v>45812</v>
      </c>
      <c r="B69" s="117">
        <f>IF('CALCULADORA TIPS Pesos N-20'!$F$10="Contractual",ROUND('Tabla de Amortizacion'!B70,8),IF('CALCULADORA TIPS Pesos N-20'!$F$10="6% (Medio)",ROUND('Tabla de Amortizacion'!E70,8),IF('CALCULADORA TIPS Pesos N-20'!$F$10="10% (Medio Alto)",ROUND('Tabla de Amortizacion'!H70,8),IF('CALCULADORA TIPS Pesos N-20'!$F$10="14% (Alto)",ROUND('Tabla de Amortizacion'!K70,8),IF('CALCULADORA TIPS Pesos N-20'!$F$10=20%,ROUND('Tabla de Amortizacion'!N70,8),ROUND('Tabla de Amortizacion'!Q70,8))))))</f>
        <v>0</v>
      </c>
      <c r="C69" s="117">
        <f>IF('CALCULADORA TIPS Pesos N-20'!$F$10="Contractual",ROUND('Tabla de Amortizacion'!C70,8),IF('CALCULADORA TIPS Pesos N-20'!$F$10="6% (Medio)",ROUND('Tabla de Amortizacion'!F70,8),IF('CALCULADORA TIPS Pesos N-20'!$F$10="10% (Medio Alto)",ROUND('Tabla de Amortizacion'!I70,8),IF('CALCULADORA TIPS Pesos N-20'!$F$10="14% (Alto)",ROUND('Tabla de Amortizacion'!L70,8),IF('CALCULADORA TIPS Pesos N-20'!$F$10=20%,ROUND('Tabla de Amortizacion'!O70,8),ROUND('Tabla de Amortizacion'!R70,8))))))</f>
        <v>0.01021576</v>
      </c>
    </row>
    <row r="70" spans="1:3" ht="12.75">
      <c r="A70" s="116">
        <f t="shared" si="2"/>
        <v>45842</v>
      </c>
      <c r="B70" s="117">
        <f>IF('CALCULADORA TIPS Pesos N-20'!$F$10="Contractual",ROUND('Tabla de Amortizacion'!B71,8),IF('CALCULADORA TIPS Pesos N-20'!$F$10="6% (Medio)",ROUND('Tabla de Amortizacion'!E71,8),IF('CALCULADORA TIPS Pesos N-20'!$F$10="10% (Medio Alto)",ROUND('Tabla de Amortizacion'!H71,8),IF('CALCULADORA TIPS Pesos N-20'!$F$10="14% (Alto)",ROUND('Tabla de Amortizacion'!K71,8),IF('CALCULADORA TIPS Pesos N-20'!$F$10=20%,ROUND('Tabla de Amortizacion'!N71,8),ROUND('Tabla de Amortizacion'!Q71,8))))))</f>
        <v>0</v>
      </c>
      <c r="C70" s="117">
        <f>IF('CALCULADORA TIPS Pesos N-20'!$F$10="Contractual",ROUND('Tabla de Amortizacion'!C71,8),IF('CALCULADORA TIPS Pesos N-20'!$F$10="6% (Medio)",ROUND('Tabla de Amortizacion'!F71,8),IF('CALCULADORA TIPS Pesos N-20'!$F$10="10% (Medio Alto)",ROUND('Tabla de Amortizacion'!I71,8),IF('CALCULADORA TIPS Pesos N-20'!$F$10="14% (Alto)",ROUND('Tabla de Amortizacion'!L71,8),IF('CALCULADORA TIPS Pesos N-20'!$F$10=20%,ROUND('Tabla de Amortizacion'!O71,8),ROUND('Tabla de Amortizacion'!R71,8))))))</f>
        <v>0.01002884</v>
      </c>
    </row>
    <row r="71" spans="1:3" ht="12.75">
      <c r="A71" s="116">
        <f t="shared" si="2"/>
        <v>45873</v>
      </c>
      <c r="B71" s="117">
        <f>IF('CALCULADORA TIPS Pesos N-20'!$F$10="Contractual",ROUND('Tabla de Amortizacion'!B72,8),IF('CALCULADORA TIPS Pesos N-20'!$F$10="6% (Medio)",ROUND('Tabla de Amortizacion'!E72,8),IF('CALCULADORA TIPS Pesos N-20'!$F$10="10% (Medio Alto)",ROUND('Tabla de Amortizacion'!H72,8),IF('CALCULADORA TIPS Pesos N-20'!$F$10="14% (Alto)",ROUND('Tabla de Amortizacion'!K72,8),IF('CALCULADORA TIPS Pesos N-20'!$F$10=20%,ROUND('Tabla de Amortizacion'!N72,8),ROUND('Tabla de Amortizacion'!Q72,8))))))</f>
        <v>0</v>
      </c>
      <c r="C71" s="117">
        <f>IF('CALCULADORA TIPS Pesos N-20'!$F$10="Contractual",ROUND('Tabla de Amortizacion'!C72,8),IF('CALCULADORA TIPS Pesos N-20'!$F$10="6% (Medio)",ROUND('Tabla de Amortizacion'!F72,8),IF('CALCULADORA TIPS Pesos N-20'!$F$10="10% (Medio Alto)",ROUND('Tabla de Amortizacion'!I72,8),IF('CALCULADORA TIPS Pesos N-20'!$F$10="14% (Alto)",ROUND('Tabla de Amortizacion'!L72,8),IF('CALCULADORA TIPS Pesos N-20'!$F$10=20%,ROUND('Tabla de Amortizacion'!O72,8),ROUND('Tabla de Amortizacion'!R72,8))))))</f>
        <v>0.0098179</v>
      </c>
    </row>
    <row r="72" spans="1:3" ht="12.75">
      <c r="A72" s="116">
        <f t="shared" si="2"/>
        <v>45904</v>
      </c>
      <c r="B72" s="117">
        <f>IF('CALCULADORA TIPS Pesos N-20'!$F$10="Contractual",ROUND('Tabla de Amortizacion'!B73,8),IF('CALCULADORA TIPS Pesos N-20'!$F$10="6% (Medio)",ROUND('Tabla de Amortizacion'!E73,8),IF('CALCULADORA TIPS Pesos N-20'!$F$10="10% (Medio Alto)",ROUND('Tabla de Amortizacion'!H73,8),IF('CALCULADORA TIPS Pesos N-20'!$F$10="14% (Alto)",ROUND('Tabla de Amortizacion'!K73,8),IF('CALCULADORA TIPS Pesos N-20'!$F$10=20%,ROUND('Tabla de Amortizacion'!N73,8),ROUND('Tabla de Amortizacion'!Q73,8))))))</f>
        <v>0</v>
      </c>
      <c r="C72" s="117">
        <f>IF('CALCULADORA TIPS Pesos N-20'!$F$10="Contractual",ROUND('Tabla de Amortizacion'!C73,8),IF('CALCULADORA TIPS Pesos N-20'!$F$10="6% (Medio)",ROUND('Tabla de Amortizacion'!F73,8),IF('CALCULADORA TIPS Pesos N-20'!$F$10="10% (Medio Alto)",ROUND('Tabla de Amortizacion'!I73,8),IF('CALCULADORA TIPS Pesos N-20'!$F$10="14% (Alto)",ROUND('Tabla de Amortizacion'!L73,8),IF('CALCULADORA TIPS Pesos N-20'!$F$10=20%,ROUND('Tabla de Amortizacion'!O73,8),ROUND('Tabla de Amortizacion'!R73,8))))))</f>
        <v>0.00961893</v>
      </c>
    </row>
    <row r="73" spans="1:3" ht="12.75">
      <c r="A73" s="116">
        <f t="shared" si="2"/>
        <v>45934</v>
      </c>
      <c r="B73" s="117">
        <f>IF('CALCULADORA TIPS Pesos N-20'!$F$10="Contractual",ROUND('Tabla de Amortizacion'!B74,8),IF('CALCULADORA TIPS Pesos N-20'!$F$10="6% (Medio)",ROUND('Tabla de Amortizacion'!E74,8),IF('CALCULADORA TIPS Pesos N-20'!$F$10="10% (Medio Alto)",ROUND('Tabla de Amortizacion'!H74,8),IF('CALCULADORA TIPS Pesos N-20'!$F$10="14% (Alto)",ROUND('Tabla de Amortizacion'!K74,8),IF('CALCULADORA TIPS Pesos N-20'!$F$10=20%,ROUND('Tabla de Amortizacion'!N74,8),ROUND('Tabla de Amortizacion'!Q74,8))))))</f>
        <v>0</v>
      </c>
      <c r="C73" s="117">
        <f>IF('CALCULADORA TIPS Pesos N-20'!$F$10="Contractual",ROUND('Tabla de Amortizacion'!C74,8),IF('CALCULADORA TIPS Pesos N-20'!$F$10="6% (Medio)",ROUND('Tabla de Amortizacion'!F74,8),IF('CALCULADORA TIPS Pesos N-20'!$F$10="10% (Medio Alto)",ROUND('Tabla de Amortizacion'!I74,8),IF('CALCULADORA TIPS Pesos N-20'!$F$10="14% (Alto)",ROUND('Tabla de Amortizacion'!L74,8),IF('CALCULADORA TIPS Pesos N-20'!$F$10=20%,ROUND('Tabla de Amortizacion'!O74,8),ROUND('Tabla de Amortizacion'!R74,8))))))</f>
        <v>0.00912372</v>
      </c>
    </row>
    <row r="74" spans="1:3" ht="12.75">
      <c r="A74" s="116">
        <f t="shared" si="2"/>
        <v>45965</v>
      </c>
      <c r="B74" s="117">
        <f>IF('CALCULADORA TIPS Pesos N-20'!$F$10="Contractual",ROUND('Tabla de Amortizacion'!B75,8),IF('CALCULADORA TIPS Pesos N-20'!$F$10="6% (Medio)",ROUND('Tabla de Amortizacion'!E75,8),IF('CALCULADORA TIPS Pesos N-20'!$F$10="10% (Medio Alto)",ROUND('Tabla de Amortizacion'!H75,8),IF('CALCULADORA TIPS Pesos N-20'!$F$10="14% (Alto)",ROUND('Tabla de Amortizacion'!K75,8),IF('CALCULADORA TIPS Pesos N-20'!$F$10=20%,ROUND('Tabla de Amortizacion'!N75,8),ROUND('Tabla de Amortizacion'!Q75,8))))))</f>
        <v>0</v>
      </c>
      <c r="C74" s="117">
        <f>IF('CALCULADORA TIPS Pesos N-20'!$F$10="Contractual",ROUND('Tabla de Amortizacion'!C75,8),IF('CALCULADORA TIPS Pesos N-20'!$F$10="6% (Medio)",ROUND('Tabla de Amortizacion'!F75,8),IF('CALCULADORA TIPS Pesos N-20'!$F$10="10% (Medio Alto)",ROUND('Tabla de Amortizacion'!I75,8),IF('CALCULADORA TIPS Pesos N-20'!$F$10="14% (Alto)",ROUND('Tabla de Amortizacion'!L75,8),IF('CALCULADORA TIPS Pesos N-20'!$F$10=20%,ROUND('Tabla de Amortizacion'!O75,8),ROUND('Tabla de Amortizacion'!R75,8))))))</f>
        <v>0.00923069</v>
      </c>
    </row>
    <row r="75" spans="1:3" ht="12.75">
      <c r="A75" s="116">
        <f t="shared" si="2"/>
        <v>45995</v>
      </c>
      <c r="B75" s="117">
        <f>IF('CALCULADORA TIPS Pesos N-20'!$F$10="Contractual",ROUND('Tabla de Amortizacion'!B76,8),IF('CALCULADORA TIPS Pesos N-20'!$F$10="6% (Medio)",ROUND('Tabla de Amortizacion'!E76,8),IF('CALCULADORA TIPS Pesos N-20'!$F$10="10% (Medio Alto)",ROUND('Tabla de Amortizacion'!H76,8),IF('CALCULADORA TIPS Pesos N-20'!$F$10="14% (Alto)",ROUND('Tabla de Amortizacion'!K76,8),IF('CALCULADORA TIPS Pesos N-20'!$F$10=20%,ROUND('Tabla de Amortizacion'!N76,8),ROUND('Tabla de Amortizacion'!Q76,8))))))</f>
        <v>0</v>
      </c>
      <c r="C75" s="117">
        <f>IF('CALCULADORA TIPS Pesos N-20'!$F$10="Contractual",ROUND('Tabla de Amortizacion'!C76,8),IF('CALCULADORA TIPS Pesos N-20'!$F$10="6% (Medio)",ROUND('Tabla de Amortizacion'!F76,8),IF('CALCULADORA TIPS Pesos N-20'!$F$10="10% (Medio Alto)",ROUND('Tabla de Amortizacion'!I76,8),IF('CALCULADORA TIPS Pesos N-20'!$F$10="14% (Alto)",ROUND('Tabla de Amortizacion'!L76,8),IF('CALCULADORA TIPS Pesos N-20'!$F$10=20%,ROUND('Tabla de Amortizacion'!O76,8),ROUND('Tabla de Amortizacion'!R76,8))))))</f>
        <v>0.00903719</v>
      </c>
    </row>
    <row r="76" spans="1:3" ht="12.75">
      <c r="A76" s="116">
        <f t="shared" si="2"/>
        <v>46026</v>
      </c>
      <c r="B76" s="117">
        <f>IF('CALCULADORA TIPS Pesos N-20'!$F$10="Contractual",ROUND('Tabla de Amortizacion'!B77,8),IF('CALCULADORA TIPS Pesos N-20'!$F$10="6% (Medio)",ROUND('Tabla de Amortizacion'!E77,8),IF('CALCULADORA TIPS Pesos N-20'!$F$10="10% (Medio Alto)",ROUND('Tabla de Amortizacion'!H77,8),IF('CALCULADORA TIPS Pesos N-20'!$F$10="14% (Alto)",ROUND('Tabla de Amortizacion'!K77,8),IF('CALCULADORA TIPS Pesos N-20'!$F$10=20%,ROUND('Tabla de Amortizacion'!N77,8),ROUND('Tabla de Amortizacion'!Q77,8))))))</f>
        <v>0</v>
      </c>
      <c r="C76" s="117">
        <f>IF('CALCULADORA TIPS Pesos N-20'!$F$10="Contractual",ROUND('Tabla de Amortizacion'!C77,8),IF('CALCULADORA TIPS Pesos N-20'!$F$10="6% (Medio)",ROUND('Tabla de Amortizacion'!F77,8),IF('CALCULADORA TIPS Pesos N-20'!$F$10="10% (Medio Alto)",ROUND('Tabla de Amortizacion'!I77,8),IF('CALCULADORA TIPS Pesos N-20'!$F$10="14% (Alto)",ROUND('Tabla de Amortizacion'!L77,8),IF('CALCULADORA TIPS Pesos N-20'!$F$10=20%,ROUND('Tabla de Amortizacion'!O77,8),ROUND('Tabla de Amortizacion'!R77,8))))))</f>
        <v>0.00884779</v>
      </c>
    </row>
    <row r="77" spans="1:3" ht="12.75">
      <c r="A77" s="116">
        <f t="shared" si="2"/>
        <v>46057</v>
      </c>
      <c r="B77" s="117">
        <f>IF('CALCULADORA TIPS Pesos N-20'!$F$10="Contractual",ROUND('Tabla de Amortizacion'!B78,8),IF('CALCULADORA TIPS Pesos N-20'!$F$10="6% (Medio)",ROUND('Tabla de Amortizacion'!E78,8),IF('CALCULADORA TIPS Pesos N-20'!$F$10="10% (Medio Alto)",ROUND('Tabla de Amortizacion'!H78,8),IF('CALCULADORA TIPS Pesos N-20'!$F$10="14% (Alto)",ROUND('Tabla de Amortizacion'!K78,8),IF('CALCULADORA TIPS Pesos N-20'!$F$10=20%,ROUND('Tabla de Amortizacion'!N78,8),ROUND('Tabla de Amortizacion'!Q78,8))))))</f>
        <v>0</v>
      </c>
      <c r="C77" s="117">
        <f>IF('CALCULADORA TIPS Pesos N-20'!$F$10="Contractual",ROUND('Tabla de Amortizacion'!C78,8),IF('CALCULADORA TIPS Pesos N-20'!$F$10="6% (Medio)",ROUND('Tabla de Amortizacion'!F78,8),IF('CALCULADORA TIPS Pesos N-20'!$F$10="10% (Medio Alto)",ROUND('Tabla de Amortizacion'!I78,8),IF('CALCULADORA TIPS Pesos N-20'!$F$10="14% (Alto)",ROUND('Tabla de Amortizacion'!L78,8),IF('CALCULADORA TIPS Pesos N-20'!$F$10=20%,ROUND('Tabla de Amortizacion'!O78,8),ROUND('Tabla de Amortizacion'!R78,8))))))</f>
        <v>0.00865869</v>
      </c>
    </row>
    <row r="78" spans="1:3" ht="12.75">
      <c r="A78" s="116">
        <f t="shared" si="2"/>
        <v>46085</v>
      </c>
      <c r="B78" s="117">
        <f>IF('CALCULADORA TIPS Pesos N-20'!$F$10="Contractual",ROUND('Tabla de Amortizacion'!B79,8),IF('CALCULADORA TIPS Pesos N-20'!$F$10="6% (Medio)",ROUND('Tabla de Amortizacion'!E79,8),IF('CALCULADORA TIPS Pesos N-20'!$F$10="10% (Medio Alto)",ROUND('Tabla de Amortizacion'!H79,8),IF('CALCULADORA TIPS Pesos N-20'!$F$10="14% (Alto)",ROUND('Tabla de Amortizacion'!K79,8),IF('CALCULADORA TIPS Pesos N-20'!$F$10=20%,ROUND('Tabla de Amortizacion'!N79,8),ROUND('Tabla de Amortizacion'!Q79,8))))))</f>
        <v>0</v>
      </c>
      <c r="C78" s="117">
        <f>IF('CALCULADORA TIPS Pesos N-20'!$F$10="Contractual",ROUND('Tabla de Amortizacion'!C79,8),IF('CALCULADORA TIPS Pesos N-20'!$F$10="6% (Medio)",ROUND('Tabla de Amortizacion'!F79,8),IF('CALCULADORA TIPS Pesos N-20'!$F$10="10% (Medio Alto)",ROUND('Tabla de Amortizacion'!I79,8),IF('CALCULADORA TIPS Pesos N-20'!$F$10="14% (Alto)",ROUND('Tabla de Amortizacion'!L79,8),IF('CALCULADORA TIPS Pesos N-20'!$F$10=20%,ROUND('Tabla de Amortizacion'!O79,8),ROUND('Tabla de Amortizacion'!R79,8))))))</f>
        <v>0.00848921</v>
      </c>
    </row>
    <row r="79" spans="1:3" ht="12.75">
      <c r="A79" s="116">
        <f t="shared" si="2"/>
        <v>46116</v>
      </c>
      <c r="B79" s="117">
        <f>IF('CALCULADORA TIPS Pesos N-20'!$F$10="Contractual",ROUND('Tabla de Amortizacion'!B80,8),IF('CALCULADORA TIPS Pesos N-20'!$F$10="6% (Medio)",ROUND('Tabla de Amortizacion'!E80,8),IF('CALCULADORA TIPS Pesos N-20'!$F$10="10% (Medio Alto)",ROUND('Tabla de Amortizacion'!H80,8),IF('CALCULADORA TIPS Pesos N-20'!$F$10="14% (Alto)",ROUND('Tabla de Amortizacion'!K80,8),IF('CALCULADORA TIPS Pesos N-20'!$F$10=20%,ROUND('Tabla de Amortizacion'!N80,8),ROUND('Tabla de Amortizacion'!Q80,8))))))</f>
        <v>0</v>
      </c>
      <c r="C79" s="117">
        <f>IF('CALCULADORA TIPS Pesos N-20'!$F$10="Contractual",ROUND('Tabla de Amortizacion'!C80,8),IF('CALCULADORA TIPS Pesos N-20'!$F$10="6% (Medio)",ROUND('Tabla de Amortizacion'!F80,8),IF('CALCULADORA TIPS Pesos N-20'!$F$10="10% (Medio Alto)",ROUND('Tabla de Amortizacion'!I80,8),IF('CALCULADORA TIPS Pesos N-20'!$F$10="14% (Alto)",ROUND('Tabla de Amortizacion'!L80,8),IF('CALCULADORA TIPS Pesos N-20'!$F$10=20%,ROUND('Tabla de Amortizacion'!O80,8),ROUND('Tabla de Amortizacion'!R80,8))))))</f>
        <v>0.00830977</v>
      </c>
    </row>
    <row r="80" spans="1:3" ht="12.75">
      <c r="A80" s="116">
        <f t="shared" si="2"/>
        <v>46146</v>
      </c>
      <c r="B80" s="117">
        <f>IF('CALCULADORA TIPS Pesos N-20'!$F$10="Contractual",ROUND('Tabla de Amortizacion'!B81,8),IF('CALCULADORA TIPS Pesos N-20'!$F$10="6% (Medio)",ROUND('Tabla de Amortizacion'!E81,8),IF('CALCULADORA TIPS Pesos N-20'!$F$10="10% (Medio Alto)",ROUND('Tabla de Amortizacion'!H81,8),IF('CALCULADORA TIPS Pesos N-20'!$F$10="14% (Alto)",ROUND('Tabla de Amortizacion'!K81,8),IF('CALCULADORA TIPS Pesos N-20'!$F$10=20%,ROUND('Tabla de Amortizacion'!N81,8),ROUND('Tabla de Amortizacion'!Q81,8))))))</f>
        <v>0</v>
      </c>
      <c r="C80" s="117">
        <f>IF('CALCULADORA TIPS Pesos N-20'!$F$10="Contractual",ROUND('Tabla de Amortizacion'!C81,8),IF('CALCULADORA TIPS Pesos N-20'!$F$10="6% (Medio)",ROUND('Tabla de Amortizacion'!F81,8),IF('CALCULADORA TIPS Pesos N-20'!$F$10="10% (Medio Alto)",ROUND('Tabla de Amortizacion'!I81,8),IF('CALCULADORA TIPS Pesos N-20'!$F$10="14% (Alto)",ROUND('Tabla de Amortizacion'!L81,8),IF('CALCULADORA TIPS Pesos N-20'!$F$10=20%,ROUND('Tabla de Amortizacion'!O81,8),ROUND('Tabla de Amortizacion'!R81,8))))))</f>
        <v>0.00813954</v>
      </c>
    </row>
    <row r="81" spans="1:3" ht="12.75">
      <c r="A81" s="116">
        <f t="shared" si="2"/>
        <v>46177</v>
      </c>
      <c r="B81" s="117">
        <f>IF('CALCULADORA TIPS Pesos N-20'!$F$10="Contractual",ROUND('Tabla de Amortizacion'!B82,8),IF('CALCULADORA TIPS Pesos N-20'!$F$10="6% (Medio)",ROUND('Tabla de Amortizacion'!E82,8),IF('CALCULADORA TIPS Pesos N-20'!$F$10="10% (Medio Alto)",ROUND('Tabla de Amortizacion'!H82,8),IF('CALCULADORA TIPS Pesos N-20'!$F$10="14% (Alto)",ROUND('Tabla de Amortizacion'!K82,8),IF('CALCULADORA TIPS Pesos N-20'!$F$10=20%,ROUND('Tabla de Amortizacion'!N82,8),ROUND('Tabla de Amortizacion'!Q82,8))))))</f>
        <v>0</v>
      </c>
      <c r="C81" s="117">
        <f>IF('CALCULADORA TIPS Pesos N-20'!$F$10="Contractual",ROUND('Tabla de Amortizacion'!C82,8),IF('CALCULADORA TIPS Pesos N-20'!$F$10="6% (Medio)",ROUND('Tabla de Amortizacion'!F82,8),IF('CALCULADORA TIPS Pesos N-20'!$F$10="10% (Medio Alto)",ROUND('Tabla de Amortizacion'!I82,8),IF('CALCULADORA TIPS Pesos N-20'!$F$10="14% (Alto)",ROUND('Tabla de Amortizacion'!L82,8),IF('CALCULADORA TIPS Pesos N-20'!$F$10=20%,ROUND('Tabla de Amortizacion'!O82,8),ROUND('Tabla de Amortizacion'!R82,8))))))</f>
        <v>0.00797013</v>
      </c>
    </row>
    <row r="82" spans="1:3" ht="12.75">
      <c r="A82" s="116">
        <f t="shared" si="2"/>
        <v>46207</v>
      </c>
      <c r="B82" s="117">
        <f>IF('CALCULADORA TIPS Pesos N-20'!$F$10="Contractual",ROUND('Tabla de Amortizacion'!B83,8),IF('CALCULADORA TIPS Pesos N-20'!$F$10="6% (Medio)",ROUND('Tabla de Amortizacion'!E83,8),IF('CALCULADORA TIPS Pesos N-20'!$F$10="10% (Medio Alto)",ROUND('Tabla de Amortizacion'!H83,8),IF('CALCULADORA TIPS Pesos N-20'!$F$10="14% (Alto)",ROUND('Tabla de Amortizacion'!K83,8),IF('CALCULADORA TIPS Pesos N-20'!$F$10=20%,ROUND('Tabla de Amortizacion'!N83,8),ROUND('Tabla de Amortizacion'!Q83,8))))))</f>
        <v>0</v>
      </c>
      <c r="C82" s="117">
        <f>IF('CALCULADORA TIPS Pesos N-20'!$F$10="Contractual",ROUND('Tabla de Amortizacion'!C83,8),IF('CALCULADORA TIPS Pesos N-20'!$F$10="6% (Medio)",ROUND('Tabla de Amortizacion'!F83,8),IF('CALCULADORA TIPS Pesos N-20'!$F$10="10% (Medio Alto)",ROUND('Tabla de Amortizacion'!I83,8),IF('CALCULADORA TIPS Pesos N-20'!$F$10="14% (Alto)",ROUND('Tabla de Amortizacion'!L83,8),IF('CALCULADORA TIPS Pesos N-20'!$F$10=20%,ROUND('Tabla de Amortizacion'!O83,8),ROUND('Tabla de Amortizacion'!R83,8))))))</f>
        <v>0.00779279</v>
      </c>
    </row>
    <row r="83" spans="1:3" ht="12.75">
      <c r="A83" s="116">
        <f t="shared" si="2"/>
        <v>46238</v>
      </c>
      <c r="B83" s="117">
        <f>IF('CALCULADORA TIPS Pesos N-20'!$F$10="Contractual",ROUND('Tabla de Amortizacion'!B84,8),IF('CALCULADORA TIPS Pesos N-20'!$F$10="6% (Medio)",ROUND('Tabla de Amortizacion'!E84,8),IF('CALCULADORA TIPS Pesos N-20'!$F$10="10% (Medio Alto)",ROUND('Tabla de Amortizacion'!H84,8),IF('CALCULADORA TIPS Pesos N-20'!$F$10="14% (Alto)",ROUND('Tabla de Amortizacion'!K84,8),IF('CALCULADORA TIPS Pesos N-20'!$F$10=20%,ROUND('Tabla de Amortizacion'!N84,8),ROUND('Tabla de Amortizacion'!Q84,8))))))</f>
        <v>0</v>
      </c>
      <c r="C83" s="117">
        <f>IF('CALCULADORA TIPS Pesos N-20'!$F$10="Contractual",ROUND('Tabla de Amortizacion'!C84,8),IF('CALCULADORA TIPS Pesos N-20'!$F$10="6% (Medio)",ROUND('Tabla de Amortizacion'!F84,8),IF('CALCULADORA TIPS Pesos N-20'!$F$10="10% (Medio Alto)",ROUND('Tabla de Amortizacion'!I84,8),IF('CALCULADORA TIPS Pesos N-20'!$F$10="14% (Alto)",ROUND('Tabla de Amortizacion'!L84,8),IF('CALCULADORA TIPS Pesos N-20'!$F$10=20%,ROUND('Tabla de Amortizacion'!O84,8),ROUND('Tabla de Amortizacion'!R84,8))))))</f>
        <v>0.0076138</v>
      </c>
    </row>
    <row r="84" spans="1:3" ht="12.75">
      <c r="A84" s="116">
        <f t="shared" si="2"/>
        <v>46269</v>
      </c>
      <c r="B84" s="117">
        <f>IF('CALCULADORA TIPS Pesos N-20'!$F$10="Contractual",ROUND('Tabla de Amortizacion'!B85,8),IF('CALCULADORA TIPS Pesos N-20'!$F$10="6% (Medio)",ROUND('Tabla de Amortizacion'!E85,8),IF('CALCULADORA TIPS Pesos N-20'!$F$10="10% (Medio Alto)",ROUND('Tabla de Amortizacion'!H85,8),IF('CALCULADORA TIPS Pesos N-20'!$F$10="14% (Alto)",ROUND('Tabla de Amortizacion'!K85,8),IF('CALCULADORA TIPS Pesos N-20'!$F$10=20%,ROUND('Tabla de Amortizacion'!N85,8),ROUND('Tabla de Amortizacion'!Q85,8))))))</f>
        <v>0</v>
      </c>
      <c r="C84" s="117">
        <f>IF('CALCULADORA TIPS Pesos N-20'!$F$10="Contractual",ROUND('Tabla de Amortizacion'!C85,8),IF('CALCULADORA TIPS Pesos N-20'!$F$10="6% (Medio)",ROUND('Tabla de Amortizacion'!F85,8),IF('CALCULADORA TIPS Pesos N-20'!$F$10="10% (Medio Alto)",ROUND('Tabla de Amortizacion'!I85,8),IF('CALCULADORA TIPS Pesos N-20'!$F$10="14% (Alto)",ROUND('Tabla de Amortizacion'!L85,8),IF('CALCULADORA TIPS Pesos N-20'!$F$10=20%,ROUND('Tabla de Amortizacion'!O85,8),ROUND('Tabla de Amortizacion'!R85,8))))))</f>
        <v>0.00743419</v>
      </c>
    </row>
    <row r="85" spans="1:3" ht="12.75">
      <c r="A85" s="116">
        <f t="shared" si="2"/>
        <v>46299</v>
      </c>
      <c r="B85" s="117">
        <f>IF('CALCULADORA TIPS Pesos N-20'!$F$10="Contractual",ROUND('Tabla de Amortizacion'!B86,8),IF('CALCULADORA TIPS Pesos N-20'!$F$10="6% (Medio)",ROUND('Tabla de Amortizacion'!E86,8),IF('CALCULADORA TIPS Pesos N-20'!$F$10="10% (Medio Alto)",ROUND('Tabla de Amortizacion'!H86,8),IF('CALCULADORA TIPS Pesos N-20'!$F$10="14% (Alto)",ROUND('Tabla de Amortizacion'!K86,8),IF('CALCULADORA TIPS Pesos N-20'!$F$10=20%,ROUND('Tabla de Amortizacion'!N86,8),ROUND('Tabla de Amortizacion'!Q86,8))))))</f>
        <v>0</v>
      </c>
      <c r="C85" s="117">
        <f>IF('CALCULADORA TIPS Pesos N-20'!$F$10="Contractual",ROUND('Tabla de Amortizacion'!C86,8),IF('CALCULADORA TIPS Pesos N-20'!$F$10="6% (Medio)",ROUND('Tabla de Amortizacion'!F86,8),IF('CALCULADORA TIPS Pesos N-20'!$F$10="10% (Medio Alto)",ROUND('Tabla de Amortizacion'!I86,8),IF('CALCULADORA TIPS Pesos N-20'!$F$10="14% (Alto)",ROUND('Tabla de Amortizacion'!L86,8),IF('CALCULADORA TIPS Pesos N-20'!$F$10=20%,ROUND('Tabla de Amortizacion'!O86,8),ROUND('Tabla de Amortizacion'!R86,8))))))</f>
        <v>0.00694332</v>
      </c>
    </row>
    <row r="86" spans="1:3" ht="12.75">
      <c r="A86" s="116">
        <f t="shared" si="2"/>
        <v>46330</v>
      </c>
      <c r="B86" s="117">
        <f>IF('CALCULADORA TIPS Pesos N-20'!$F$10="Contractual",ROUND('Tabla de Amortizacion'!B87,8),IF('CALCULADORA TIPS Pesos N-20'!$F$10="6% (Medio)",ROUND('Tabla de Amortizacion'!E87,8),IF('CALCULADORA TIPS Pesos N-20'!$F$10="10% (Medio Alto)",ROUND('Tabla de Amortizacion'!H87,8),IF('CALCULADORA TIPS Pesos N-20'!$F$10="14% (Alto)",ROUND('Tabla de Amortizacion'!K87,8),IF('CALCULADORA TIPS Pesos N-20'!$F$10=20%,ROUND('Tabla de Amortizacion'!N87,8),ROUND('Tabla de Amortizacion'!Q87,8))))))</f>
        <v>0</v>
      </c>
      <c r="C86" s="117">
        <f>IF('CALCULADORA TIPS Pesos N-20'!$F$10="Contractual",ROUND('Tabla de Amortizacion'!C87,8),IF('CALCULADORA TIPS Pesos N-20'!$F$10="6% (Medio)",ROUND('Tabla de Amortizacion'!F87,8),IF('CALCULADORA TIPS Pesos N-20'!$F$10="10% (Medio Alto)",ROUND('Tabla de Amortizacion'!I87,8),IF('CALCULADORA TIPS Pesos N-20'!$F$10="14% (Alto)",ROUND('Tabla de Amortizacion'!L87,8),IF('CALCULADORA TIPS Pesos N-20'!$F$10=20%,ROUND('Tabla de Amortizacion'!O87,8),ROUND('Tabla de Amortizacion'!R87,8))))))</f>
        <v>0.00710642</v>
      </c>
    </row>
    <row r="87" spans="1:3" ht="12.75">
      <c r="A87" s="116">
        <f t="shared" si="2"/>
        <v>46360</v>
      </c>
      <c r="B87" s="117">
        <f>IF('CALCULADORA TIPS Pesos N-20'!$F$10="Contractual",ROUND('Tabla de Amortizacion'!B88,8),IF('CALCULADORA TIPS Pesos N-20'!$F$10="6% (Medio)",ROUND('Tabla de Amortizacion'!E88,8),IF('CALCULADORA TIPS Pesos N-20'!$F$10="10% (Medio Alto)",ROUND('Tabla de Amortizacion'!H88,8),IF('CALCULADORA TIPS Pesos N-20'!$F$10="14% (Alto)",ROUND('Tabla de Amortizacion'!K88,8),IF('CALCULADORA TIPS Pesos N-20'!$F$10=20%,ROUND('Tabla de Amortizacion'!N88,8),ROUND('Tabla de Amortizacion'!Q88,8))))))</f>
        <v>0</v>
      </c>
      <c r="C87" s="117">
        <f>IF('CALCULADORA TIPS Pesos N-20'!$F$10="Contractual",ROUND('Tabla de Amortizacion'!C88,8),IF('CALCULADORA TIPS Pesos N-20'!$F$10="6% (Medio)",ROUND('Tabla de Amortizacion'!F88,8),IF('CALCULADORA TIPS Pesos N-20'!$F$10="10% (Medio Alto)",ROUND('Tabla de Amortizacion'!I88,8),IF('CALCULADORA TIPS Pesos N-20'!$F$10="14% (Alto)",ROUND('Tabla de Amortizacion'!L88,8),IF('CALCULADORA TIPS Pesos N-20'!$F$10=20%,ROUND('Tabla de Amortizacion'!O88,8),ROUND('Tabla de Amortizacion'!R88,8))))))</f>
        <v>0.00695514</v>
      </c>
    </row>
    <row r="88" spans="1:3" ht="12.75">
      <c r="A88" s="116">
        <f t="shared" si="2"/>
        <v>46391</v>
      </c>
      <c r="B88" s="117">
        <f>IF('CALCULADORA TIPS Pesos N-20'!$F$10="Contractual",ROUND('Tabla de Amortizacion'!B89,8),IF('CALCULADORA TIPS Pesos N-20'!$F$10="6% (Medio)",ROUND('Tabla de Amortizacion'!E89,8),IF('CALCULADORA TIPS Pesos N-20'!$F$10="10% (Medio Alto)",ROUND('Tabla de Amortizacion'!H89,8),IF('CALCULADORA TIPS Pesos N-20'!$F$10="14% (Alto)",ROUND('Tabla de Amortizacion'!K89,8),IF('CALCULADORA TIPS Pesos N-20'!$F$10=20%,ROUND('Tabla de Amortizacion'!N89,8),ROUND('Tabla de Amortizacion'!Q89,8))))))</f>
        <v>0</v>
      </c>
      <c r="C88" s="117">
        <f>IF('CALCULADORA TIPS Pesos N-20'!$F$10="Contractual",ROUND('Tabla de Amortizacion'!C89,8),IF('CALCULADORA TIPS Pesos N-20'!$F$10="6% (Medio)",ROUND('Tabla de Amortizacion'!F89,8),IF('CALCULADORA TIPS Pesos N-20'!$F$10="10% (Medio Alto)",ROUND('Tabla de Amortizacion'!I89,8),IF('CALCULADORA TIPS Pesos N-20'!$F$10="14% (Alto)",ROUND('Tabla de Amortizacion'!L89,8),IF('CALCULADORA TIPS Pesos N-20'!$F$10=20%,ROUND('Tabla de Amortizacion'!O89,8),ROUND('Tabla de Amortizacion'!R89,8))))))</f>
        <v>0.00679551</v>
      </c>
    </row>
    <row r="89" spans="1:3" ht="12.75">
      <c r="A89" s="116">
        <f t="shared" si="2"/>
        <v>46422</v>
      </c>
      <c r="B89" s="117">
        <f>IF('CALCULADORA TIPS Pesos N-20'!$F$10="Contractual",ROUND('Tabla de Amortizacion'!B90,8),IF('CALCULADORA TIPS Pesos N-20'!$F$10="6% (Medio)",ROUND('Tabla de Amortizacion'!E90,8),IF('CALCULADORA TIPS Pesos N-20'!$F$10="10% (Medio Alto)",ROUND('Tabla de Amortizacion'!H90,8),IF('CALCULADORA TIPS Pesos N-20'!$F$10="14% (Alto)",ROUND('Tabla de Amortizacion'!K90,8),IF('CALCULADORA TIPS Pesos N-20'!$F$10=20%,ROUND('Tabla de Amortizacion'!N90,8),ROUND('Tabla de Amortizacion'!Q90,8))))))</f>
        <v>0</v>
      </c>
      <c r="C89" s="117">
        <f>IF('CALCULADORA TIPS Pesos N-20'!$F$10="Contractual",ROUND('Tabla de Amortizacion'!C90,8),IF('CALCULADORA TIPS Pesos N-20'!$F$10="6% (Medio)",ROUND('Tabla de Amortizacion'!F90,8),IF('CALCULADORA TIPS Pesos N-20'!$F$10="10% (Medio Alto)",ROUND('Tabla de Amortizacion'!I90,8),IF('CALCULADORA TIPS Pesos N-20'!$F$10="14% (Alto)",ROUND('Tabla de Amortizacion'!L90,8),IF('CALCULADORA TIPS Pesos N-20'!$F$10=20%,ROUND('Tabla de Amortizacion'!O90,8),ROUND('Tabla de Amortizacion'!R90,8))))))</f>
        <v>0.00662633</v>
      </c>
    </row>
    <row r="90" spans="1:3" ht="12.75">
      <c r="A90" s="116">
        <f t="shared" si="2"/>
        <v>46450</v>
      </c>
      <c r="B90" s="117">
        <f>IF('CALCULADORA TIPS Pesos N-20'!$F$10="Contractual",ROUND('Tabla de Amortizacion'!B91,8),IF('CALCULADORA TIPS Pesos N-20'!$F$10="6% (Medio)",ROUND('Tabla de Amortizacion'!E91,8),IF('CALCULADORA TIPS Pesos N-20'!$F$10="10% (Medio Alto)",ROUND('Tabla de Amortizacion'!H91,8),IF('CALCULADORA TIPS Pesos N-20'!$F$10="14% (Alto)",ROUND('Tabla de Amortizacion'!K91,8),IF('CALCULADORA TIPS Pesos N-20'!$F$10=20%,ROUND('Tabla de Amortizacion'!N91,8),ROUND('Tabla de Amortizacion'!Q91,8))))))</f>
        <v>0</v>
      </c>
      <c r="C90" s="117">
        <f>IF('CALCULADORA TIPS Pesos N-20'!$F$10="Contractual",ROUND('Tabla de Amortizacion'!C91,8),IF('CALCULADORA TIPS Pesos N-20'!$F$10="6% (Medio)",ROUND('Tabla de Amortizacion'!F91,8),IF('CALCULADORA TIPS Pesos N-20'!$F$10="10% (Medio Alto)",ROUND('Tabla de Amortizacion'!I91,8),IF('CALCULADORA TIPS Pesos N-20'!$F$10="14% (Alto)",ROUND('Tabla de Amortizacion'!L91,8),IF('CALCULADORA TIPS Pesos N-20'!$F$10=20%,ROUND('Tabla de Amortizacion'!O91,8),ROUND('Tabla de Amortizacion'!R91,8))))))</f>
        <v>0.00647811</v>
      </c>
    </row>
    <row r="91" spans="1:3" ht="12.75">
      <c r="A91" s="116">
        <f t="shared" si="2"/>
        <v>46481</v>
      </c>
      <c r="B91" s="117">
        <f>IF('CALCULADORA TIPS Pesos N-20'!$F$10="Contractual",ROUND('Tabla de Amortizacion'!B92,8),IF('CALCULADORA TIPS Pesos N-20'!$F$10="6% (Medio)",ROUND('Tabla de Amortizacion'!E92,8),IF('CALCULADORA TIPS Pesos N-20'!$F$10="10% (Medio Alto)",ROUND('Tabla de Amortizacion'!H92,8),IF('CALCULADORA TIPS Pesos N-20'!$F$10="14% (Alto)",ROUND('Tabla de Amortizacion'!K92,8),IF('CALCULADORA TIPS Pesos N-20'!$F$10=20%,ROUND('Tabla de Amortizacion'!N92,8),ROUND('Tabla de Amortizacion'!Q92,8))))))</f>
        <v>0</v>
      </c>
      <c r="C91" s="117">
        <f>IF('CALCULADORA TIPS Pesos N-20'!$F$10="Contractual",ROUND('Tabla de Amortizacion'!C92,8),IF('CALCULADORA TIPS Pesos N-20'!$F$10="6% (Medio)",ROUND('Tabla de Amortizacion'!F92,8),IF('CALCULADORA TIPS Pesos N-20'!$F$10="10% (Medio Alto)",ROUND('Tabla de Amortizacion'!I92,8),IF('CALCULADORA TIPS Pesos N-20'!$F$10="14% (Alto)",ROUND('Tabla de Amortizacion'!L92,8),IF('CALCULADORA TIPS Pesos N-20'!$F$10=20%,ROUND('Tabla de Amortizacion'!O92,8),ROUND('Tabla de Amortizacion'!R92,8))))))</f>
        <v>0.00632053</v>
      </c>
    </row>
    <row r="92" spans="1:3" ht="12.75">
      <c r="A92" s="116">
        <f t="shared" si="2"/>
        <v>46511</v>
      </c>
      <c r="B92" s="117">
        <f>IF('CALCULADORA TIPS Pesos N-20'!$F$10="Contractual",ROUND('Tabla de Amortizacion'!B93,8),IF('CALCULADORA TIPS Pesos N-20'!$F$10="6% (Medio)",ROUND('Tabla de Amortizacion'!E93,8),IF('CALCULADORA TIPS Pesos N-20'!$F$10="10% (Medio Alto)",ROUND('Tabla de Amortizacion'!H93,8),IF('CALCULADORA TIPS Pesos N-20'!$F$10="14% (Alto)",ROUND('Tabla de Amortizacion'!K93,8),IF('CALCULADORA TIPS Pesos N-20'!$F$10=20%,ROUND('Tabla de Amortizacion'!N93,8),ROUND('Tabla de Amortizacion'!Q93,8))))))</f>
        <v>0</v>
      </c>
      <c r="C92" s="117">
        <f>IF('CALCULADORA TIPS Pesos N-20'!$F$10="Contractual",ROUND('Tabla de Amortizacion'!C93,8),IF('CALCULADORA TIPS Pesos N-20'!$F$10="6% (Medio)",ROUND('Tabla de Amortizacion'!F93,8),IF('CALCULADORA TIPS Pesos N-20'!$F$10="10% (Medio Alto)",ROUND('Tabla de Amortizacion'!I93,8),IF('CALCULADORA TIPS Pesos N-20'!$F$10="14% (Alto)",ROUND('Tabla de Amortizacion'!L93,8),IF('CALCULADORA TIPS Pesos N-20'!$F$10=20%,ROUND('Tabla de Amortizacion'!O93,8),ROUND('Tabla de Amortizacion'!R93,8))))))</f>
        <v>0.00617936</v>
      </c>
    </row>
    <row r="93" spans="1:3" ht="12.75">
      <c r="A93" s="116">
        <f t="shared" si="2"/>
        <v>46542</v>
      </c>
      <c r="B93" s="117">
        <f>IF('CALCULADORA TIPS Pesos N-20'!$F$10="Contractual",ROUND('Tabla de Amortizacion'!B94,8),IF('CALCULADORA TIPS Pesos N-20'!$F$10="6% (Medio)",ROUND('Tabla de Amortizacion'!E94,8),IF('CALCULADORA TIPS Pesos N-20'!$F$10="10% (Medio Alto)",ROUND('Tabla de Amortizacion'!H94,8),IF('CALCULADORA TIPS Pesos N-20'!$F$10="14% (Alto)",ROUND('Tabla de Amortizacion'!K94,8),IF('CALCULADORA TIPS Pesos N-20'!$F$10=20%,ROUND('Tabla de Amortizacion'!N94,8),ROUND('Tabla de Amortizacion'!Q94,8))))))</f>
        <v>0</v>
      </c>
      <c r="C93" s="117">
        <f>IF('CALCULADORA TIPS Pesos N-20'!$F$10="Contractual",ROUND('Tabla de Amortizacion'!C94,8),IF('CALCULADORA TIPS Pesos N-20'!$F$10="6% (Medio)",ROUND('Tabla de Amortizacion'!F94,8),IF('CALCULADORA TIPS Pesos N-20'!$F$10="10% (Medio Alto)",ROUND('Tabla de Amortizacion'!I94,8),IF('CALCULADORA TIPS Pesos N-20'!$F$10="14% (Alto)",ROUND('Tabla de Amortizacion'!L94,8),IF('CALCULADORA TIPS Pesos N-20'!$F$10=20%,ROUND('Tabla de Amortizacion'!O94,8),ROUND('Tabla de Amortizacion'!R94,8))))))</f>
        <v>0.006042</v>
      </c>
    </row>
    <row r="94" spans="1:3" ht="12.75">
      <c r="A94" s="116">
        <f t="shared" si="2"/>
        <v>46572</v>
      </c>
      <c r="B94" s="117">
        <f>IF('CALCULADORA TIPS Pesos N-20'!$F$10="Contractual",ROUND('Tabla de Amortizacion'!B95,8),IF('CALCULADORA TIPS Pesos N-20'!$F$10="6% (Medio)",ROUND('Tabla de Amortizacion'!E95,8),IF('CALCULADORA TIPS Pesos N-20'!$F$10="10% (Medio Alto)",ROUND('Tabla de Amortizacion'!H95,8),IF('CALCULADORA TIPS Pesos N-20'!$F$10="14% (Alto)",ROUND('Tabla de Amortizacion'!K95,8),IF('CALCULADORA TIPS Pesos N-20'!$F$10=20%,ROUND('Tabla de Amortizacion'!N95,8),ROUND('Tabla de Amortizacion'!Q95,8))))))</f>
        <v>0</v>
      </c>
      <c r="C94" s="117">
        <f>IF('CALCULADORA TIPS Pesos N-20'!$F$10="Contractual",ROUND('Tabla de Amortizacion'!C95,8),IF('CALCULADORA TIPS Pesos N-20'!$F$10="6% (Medio)",ROUND('Tabla de Amortizacion'!F95,8),IF('CALCULADORA TIPS Pesos N-20'!$F$10="10% (Medio Alto)",ROUND('Tabla de Amortizacion'!I95,8),IF('CALCULADORA TIPS Pesos N-20'!$F$10="14% (Alto)",ROUND('Tabla de Amortizacion'!L95,8),IF('CALCULADORA TIPS Pesos N-20'!$F$10=20%,ROUND('Tabla de Amortizacion'!O95,8),ROUND('Tabla de Amortizacion'!R95,8))))))</f>
        <v>0.00589679</v>
      </c>
    </row>
    <row r="95" spans="1:3" ht="12.75">
      <c r="A95" s="116">
        <f t="shared" si="2"/>
        <v>46603</v>
      </c>
      <c r="B95" s="117">
        <f>IF('CALCULADORA TIPS Pesos N-20'!$F$10="Contractual",ROUND('Tabla de Amortizacion'!B96,8),IF('CALCULADORA TIPS Pesos N-20'!$F$10="6% (Medio)",ROUND('Tabla de Amortizacion'!E96,8),IF('CALCULADORA TIPS Pesos N-20'!$F$10="10% (Medio Alto)",ROUND('Tabla de Amortizacion'!H96,8),IF('CALCULADORA TIPS Pesos N-20'!$F$10="14% (Alto)",ROUND('Tabla de Amortizacion'!K96,8),IF('CALCULADORA TIPS Pesos N-20'!$F$10=20%,ROUND('Tabla de Amortizacion'!N96,8),ROUND('Tabla de Amortizacion'!Q96,8))))))</f>
        <v>0</v>
      </c>
      <c r="C95" s="117">
        <f>IF('CALCULADORA TIPS Pesos N-20'!$F$10="Contractual",ROUND('Tabla de Amortizacion'!C96,8),IF('CALCULADORA TIPS Pesos N-20'!$F$10="6% (Medio)",ROUND('Tabla de Amortizacion'!F96,8),IF('CALCULADORA TIPS Pesos N-20'!$F$10="10% (Medio Alto)",ROUND('Tabla de Amortizacion'!I96,8),IF('CALCULADORA TIPS Pesos N-20'!$F$10="14% (Alto)",ROUND('Tabla de Amortizacion'!L96,8),IF('CALCULADORA TIPS Pesos N-20'!$F$10=20%,ROUND('Tabla de Amortizacion'!O96,8),ROUND('Tabla de Amortizacion'!R96,8))))))</f>
        <v>0.00575707</v>
      </c>
    </row>
    <row r="96" spans="1:3" ht="12.75">
      <c r="A96" s="116">
        <f t="shared" si="2"/>
        <v>46634</v>
      </c>
      <c r="B96" s="117">
        <f>IF('CALCULADORA TIPS Pesos N-20'!$F$10="Contractual",ROUND('Tabla de Amortizacion'!B97,8),IF('CALCULADORA TIPS Pesos N-20'!$F$10="6% (Medio)",ROUND('Tabla de Amortizacion'!E97,8),IF('CALCULADORA TIPS Pesos N-20'!$F$10="10% (Medio Alto)",ROUND('Tabla de Amortizacion'!H97,8),IF('CALCULADORA TIPS Pesos N-20'!$F$10="14% (Alto)",ROUND('Tabla de Amortizacion'!K97,8),IF('CALCULADORA TIPS Pesos N-20'!$F$10=20%,ROUND('Tabla de Amortizacion'!N97,8),ROUND('Tabla de Amortizacion'!Q97,8))))))</f>
        <v>0</v>
      </c>
      <c r="C96" s="117">
        <f>IF('CALCULADORA TIPS Pesos N-20'!$F$10="Contractual",ROUND('Tabla de Amortizacion'!C97,8),IF('CALCULADORA TIPS Pesos N-20'!$F$10="6% (Medio)",ROUND('Tabla de Amortizacion'!F97,8),IF('CALCULADORA TIPS Pesos N-20'!$F$10="10% (Medio Alto)",ROUND('Tabla de Amortizacion'!I97,8),IF('CALCULADORA TIPS Pesos N-20'!$F$10="14% (Alto)",ROUND('Tabla de Amortizacion'!L97,8),IF('CALCULADORA TIPS Pesos N-20'!$F$10=20%,ROUND('Tabla de Amortizacion'!O97,8),ROUND('Tabla de Amortizacion'!R97,8))))))</f>
        <v>0.00561718</v>
      </c>
    </row>
    <row r="97" spans="1:3" ht="12.75">
      <c r="A97" s="116">
        <f t="shared" si="2"/>
        <v>46664</v>
      </c>
      <c r="B97" s="117">
        <f>IF('CALCULADORA TIPS Pesos N-20'!$F$10="Contractual",ROUND('Tabla de Amortizacion'!B98,8),IF('CALCULADORA TIPS Pesos N-20'!$F$10="6% (Medio)",ROUND('Tabla de Amortizacion'!E98,8),IF('CALCULADORA TIPS Pesos N-20'!$F$10="10% (Medio Alto)",ROUND('Tabla de Amortizacion'!H98,8),IF('CALCULADORA TIPS Pesos N-20'!$F$10="14% (Alto)",ROUND('Tabla de Amortizacion'!K98,8),IF('CALCULADORA TIPS Pesos N-20'!$F$10=20%,ROUND('Tabla de Amortizacion'!N98,8),ROUND('Tabla de Amortizacion'!Q98,8))))))</f>
        <v>0</v>
      </c>
      <c r="C97" s="117">
        <f>IF('CALCULADORA TIPS Pesos N-20'!$F$10="Contractual",ROUND('Tabla de Amortizacion'!C98,8),IF('CALCULADORA TIPS Pesos N-20'!$F$10="6% (Medio)",ROUND('Tabla de Amortizacion'!F98,8),IF('CALCULADORA TIPS Pesos N-20'!$F$10="10% (Medio Alto)",ROUND('Tabla de Amortizacion'!I98,8),IF('CALCULADORA TIPS Pesos N-20'!$F$10="14% (Alto)",ROUND('Tabla de Amortizacion'!L98,8),IF('CALCULADORA TIPS Pesos N-20'!$F$10=20%,ROUND('Tabla de Amortizacion'!O98,8),ROUND('Tabla de Amortizacion'!R98,8))))))</f>
        <v>0.00514419</v>
      </c>
    </row>
    <row r="98" spans="1:3" ht="12.75">
      <c r="A98" s="116">
        <f t="shared" si="2"/>
        <v>46695</v>
      </c>
      <c r="B98" s="117">
        <f>IF('CALCULADORA TIPS Pesos N-20'!$F$10="Contractual",ROUND('Tabla de Amortizacion'!B99,8),IF('CALCULADORA TIPS Pesos N-20'!$F$10="6% (Medio)",ROUND('Tabla de Amortizacion'!E99,8),IF('CALCULADORA TIPS Pesos N-20'!$F$10="10% (Medio Alto)",ROUND('Tabla de Amortizacion'!H99,8),IF('CALCULADORA TIPS Pesos N-20'!$F$10="14% (Alto)",ROUND('Tabla de Amortizacion'!K99,8),IF('CALCULADORA TIPS Pesos N-20'!$F$10=20%,ROUND('Tabla de Amortizacion'!N99,8),ROUND('Tabla de Amortizacion'!Q99,8))))))</f>
        <v>0</v>
      </c>
      <c r="C98" s="117">
        <f>IF('CALCULADORA TIPS Pesos N-20'!$F$10="Contractual",ROUND('Tabla de Amortizacion'!C99,8),IF('CALCULADORA TIPS Pesos N-20'!$F$10="6% (Medio)",ROUND('Tabla de Amortizacion'!F99,8),IF('CALCULADORA TIPS Pesos N-20'!$F$10="10% (Medio Alto)",ROUND('Tabla de Amortizacion'!I99,8),IF('CALCULADORA TIPS Pesos N-20'!$F$10="14% (Alto)",ROUND('Tabla de Amortizacion'!L99,8),IF('CALCULADORA TIPS Pesos N-20'!$F$10=20%,ROUND('Tabla de Amortizacion'!O99,8),ROUND('Tabla de Amortizacion'!R99,8))))))</f>
        <v>0.00536065</v>
      </c>
    </row>
    <row r="99" spans="1:3" ht="12.75">
      <c r="A99" s="116">
        <f aca="true" t="shared" si="3" ref="A99:A130">_XLL.FECHA.MES(A98,1)</f>
        <v>46725</v>
      </c>
      <c r="B99" s="117">
        <f>IF('CALCULADORA TIPS Pesos N-20'!$F$10="Contractual",ROUND('Tabla de Amortizacion'!B100,8),IF('CALCULADORA TIPS Pesos N-20'!$F$10="6% (Medio)",ROUND('Tabla de Amortizacion'!E100,8),IF('CALCULADORA TIPS Pesos N-20'!$F$10="10% (Medio Alto)",ROUND('Tabla de Amortizacion'!H100,8),IF('CALCULADORA TIPS Pesos N-20'!$F$10="14% (Alto)",ROUND('Tabla de Amortizacion'!K100,8),IF('CALCULADORA TIPS Pesos N-20'!$F$10=20%,ROUND('Tabla de Amortizacion'!N100,8),ROUND('Tabla de Amortizacion'!Q100,8))))))</f>
        <v>0</v>
      </c>
      <c r="C99" s="117">
        <f>IF('CALCULADORA TIPS Pesos N-20'!$F$10="Contractual",ROUND('Tabla de Amortizacion'!C100,8),IF('CALCULADORA TIPS Pesos N-20'!$F$10="6% (Medio)",ROUND('Tabla de Amortizacion'!F100,8),IF('CALCULADORA TIPS Pesos N-20'!$F$10="10% (Medio Alto)",ROUND('Tabla de Amortizacion'!I100,8),IF('CALCULADORA TIPS Pesos N-20'!$F$10="14% (Alto)",ROUND('Tabla de Amortizacion'!L100,8),IF('CALCULADORA TIPS Pesos N-20'!$F$10=20%,ROUND('Tabla de Amortizacion'!O100,8),ROUND('Tabla de Amortizacion'!R100,8))))))</f>
        <v>0.00523655</v>
      </c>
    </row>
    <row r="100" spans="1:3" ht="12.75">
      <c r="A100" s="116">
        <f t="shared" si="3"/>
        <v>46756</v>
      </c>
      <c r="B100" s="117">
        <f>IF('CALCULADORA TIPS Pesos N-20'!$F$10="Contractual",ROUND('Tabla de Amortizacion'!B101,8),IF('CALCULADORA TIPS Pesos N-20'!$F$10="6% (Medio)",ROUND('Tabla de Amortizacion'!E101,8),IF('CALCULADORA TIPS Pesos N-20'!$F$10="10% (Medio Alto)",ROUND('Tabla de Amortizacion'!H101,8),IF('CALCULADORA TIPS Pesos N-20'!$F$10="14% (Alto)",ROUND('Tabla de Amortizacion'!K101,8),IF('CALCULADORA TIPS Pesos N-20'!$F$10=20%,ROUND('Tabla de Amortizacion'!N101,8),ROUND('Tabla de Amortizacion'!Q101,8))))))</f>
        <v>0</v>
      </c>
      <c r="C100" s="117">
        <f>IF('CALCULADORA TIPS Pesos N-20'!$F$10="Contractual",ROUND('Tabla de Amortizacion'!C101,8),IF('CALCULADORA TIPS Pesos N-20'!$F$10="6% (Medio)",ROUND('Tabla de Amortizacion'!F101,8),IF('CALCULADORA TIPS Pesos N-20'!$F$10="10% (Medio Alto)",ROUND('Tabla de Amortizacion'!I101,8),IF('CALCULADORA TIPS Pesos N-20'!$F$10="14% (Alto)",ROUND('Tabla de Amortizacion'!L101,8),IF('CALCULADORA TIPS Pesos N-20'!$F$10=20%,ROUND('Tabla de Amortizacion'!O101,8),ROUND('Tabla de Amortizacion'!R101,8))))))</f>
        <v>0.00511281</v>
      </c>
    </row>
    <row r="101" spans="1:3" ht="12.75">
      <c r="A101" s="116">
        <f t="shared" si="3"/>
        <v>46787</v>
      </c>
      <c r="B101" s="117">
        <f>IF('CALCULADORA TIPS Pesos N-20'!$F$10="Contractual",ROUND('Tabla de Amortizacion'!B102,8),IF('CALCULADORA TIPS Pesos N-20'!$F$10="6% (Medio)",ROUND('Tabla de Amortizacion'!E102,8),IF('CALCULADORA TIPS Pesos N-20'!$F$10="10% (Medio Alto)",ROUND('Tabla de Amortizacion'!H102,8),IF('CALCULADORA TIPS Pesos N-20'!$F$10="14% (Alto)",ROUND('Tabla de Amortizacion'!K102,8),IF('CALCULADORA TIPS Pesos N-20'!$F$10=20%,ROUND('Tabla de Amortizacion'!N102,8),ROUND('Tabla de Amortizacion'!Q102,8))))))</f>
        <v>0</v>
      </c>
      <c r="C101" s="117">
        <f>IF('CALCULADORA TIPS Pesos N-20'!$F$10="Contractual",ROUND('Tabla de Amortizacion'!C102,8),IF('CALCULADORA TIPS Pesos N-20'!$F$10="6% (Medio)",ROUND('Tabla de Amortizacion'!F102,8),IF('CALCULADORA TIPS Pesos N-20'!$F$10="10% (Medio Alto)",ROUND('Tabla de Amortizacion'!I102,8),IF('CALCULADORA TIPS Pesos N-20'!$F$10="14% (Alto)",ROUND('Tabla de Amortizacion'!L102,8),IF('CALCULADORA TIPS Pesos N-20'!$F$10=20%,ROUND('Tabla de Amortizacion'!O102,8),ROUND('Tabla de Amortizacion'!R102,8))))))</f>
        <v>0.00497496</v>
      </c>
    </row>
    <row r="102" spans="1:3" ht="12.75">
      <c r="A102" s="116">
        <f t="shared" si="3"/>
        <v>46816</v>
      </c>
      <c r="B102" s="117">
        <f>IF('CALCULADORA TIPS Pesos N-20'!$F$10="Contractual",ROUND('Tabla de Amortizacion'!B103,8),IF('CALCULADORA TIPS Pesos N-20'!$F$10="6% (Medio)",ROUND('Tabla de Amortizacion'!E103,8),IF('CALCULADORA TIPS Pesos N-20'!$F$10="10% (Medio Alto)",ROUND('Tabla de Amortizacion'!H103,8),IF('CALCULADORA TIPS Pesos N-20'!$F$10="14% (Alto)",ROUND('Tabla de Amortizacion'!K103,8),IF('CALCULADORA TIPS Pesos N-20'!$F$10=20%,ROUND('Tabla de Amortizacion'!N103,8),ROUND('Tabla de Amortizacion'!Q103,8))))))</f>
        <v>0</v>
      </c>
      <c r="C102" s="117">
        <f>IF('CALCULADORA TIPS Pesos N-20'!$F$10="Contractual",ROUND('Tabla de Amortizacion'!C103,8),IF('CALCULADORA TIPS Pesos N-20'!$F$10="6% (Medio)",ROUND('Tabla de Amortizacion'!F103,8),IF('CALCULADORA TIPS Pesos N-20'!$F$10="10% (Medio Alto)",ROUND('Tabla de Amortizacion'!I103,8),IF('CALCULADORA TIPS Pesos N-20'!$F$10="14% (Alto)",ROUND('Tabla de Amortizacion'!L103,8),IF('CALCULADORA TIPS Pesos N-20'!$F$10=20%,ROUND('Tabla de Amortizacion'!O103,8),ROUND('Tabla de Amortizacion'!R103,8))))))</f>
        <v>0.00484534</v>
      </c>
    </row>
    <row r="103" spans="1:3" ht="12.75">
      <c r="A103" s="116">
        <f t="shared" si="3"/>
        <v>46847</v>
      </c>
      <c r="B103" s="117">
        <f>IF('CALCULADORA TIPS Pesos N-20'!$F$10="Contractual",ROUND('Tabla de Amortizacion'!B104,8),IF('CALCULADORA TIPS Pesos N-20'!$F$10="6% (Medio)",ROUND('Tabla de Amortizacion'!E104,8),IF('CALCULADORA TIPS Pesos N-20'!$F$10="10% (Medio Alto)",ROUND('Tabla de Amortizacion'!H104,8),IF('CALCULADORA TIPS Pesos N-20'!$F$10="14% (Alto)",ROUND('Tabla de Amortizacion'!K104,8),IF('CALCULADORA TIPS Pesos N-20'!$F$10=20%,ROUND('Tabla de Amortizacion'!N104,8),ROUND('Tabla de Amortizacion'!Q104,8))))))</f>
        <v>0</v>
      </c>
      <c r="C103" s="117">
        <f>IF('CALCULADORA TIPS Pesos N-20'!$F$10="Contractual",ROUND('Tabla de Amortizacion'!C104,8),IF('CALCULADORA TIPS Pesos N-20'!$F$10="6% (Medio)",ROUND('Tabla de Amortizacion'!F104,8),IF('CALCULADORA TIPS Pesos N-20'!$F$10="10% (Medio Alto)",ROUND('Tabla de Amortizacion'!I104,8),IF('CALCULADORA TIPS Pesos N-20'!$F$10="14% (Alto)",ROUND('Tabla de Amortizacion'!L104,8),IF('CALCULADORA TIPS Pesos N-20'!$F$10=20%,ROUND('Tabla de Amortizacion'!O104,8),ROUND('Tabla de Amortizacion'!R104,8))))))</f>
        <v>0.00472278</v>
      </c>
    </row>
    <row r="104" spans="1:3" ht="12.75">
      <c r="A104" s="116">
        <f t="shared" si="3"/>
        <v>46877</v>
      </c>
      <c r="B104" s="117">
        <f>IF('CALCULADORA TIPS Pesos N-20'!$F$10="Contractual",ROUND('Tabla de Amortizacion'!B105,8),IF('CALCULADORA TIPS Pesos N-20'!$F$10="6% (Medio)",ROUND('Tabla de Amortizacion'!E105,8),IF('CALCULADORA TIPS Pesos N-20'!$F$10="10% (Medio Alto)",ROUND('Tabla de Amortizacion'!H105,8),IF('CALCULADORA TIPS Pesos N-20'!$F$10="14% (Alto)",ROUND('Tabla de Amortizacion'!K105,8),IF('CALCULADORA TIPS Pesos N-20'!$F$10=20%,ROUND('Tabla de Amortizacion'!N105,8),ROUND('Tabla de Amortizacion'!Q105,8))))))</f>
        <v>0</v>
      </c>
      <c r="C104" s="117">
        <f>IF('CALCULADORA TIPS Pesos N-20'!$F$10="Contractual",ROUND('Tabla de Amortizacion'!C105,8),IF('CALCULADORA TIPS Pesos N-20'!$F$10="6% (Medio)",ROUND('Tabla de Amortizacion'!F105,8),IF('CALCULADORA TIPS Pesos N-20'!$F$10="10% (Medio Alto)",ROUND('Tabla de Amortizacion'!I105,8),IF('CALCULADORA TIPS Pesos N-20'!$F$10="14% (Alto)",ROUND('Tabla de Amortizacion'!L105,8),IF('CALCULADORA TIPS Pesos N-20'!$F$10=20%,ROUND('Tabla de Amortizacion'!O105,8),ROUND('Tabla de Amortizacion'!R105,8))))))</f>
        <v>0.00460271</v>
      </c>
    </row>
    <row r="105" spans="1:3" ht="12.75">
      <c r="A105" s="116">
        <f t="shared" si="3"/>
        <v>46908</v>
      </c>
      <c r="B105" s="117">
        <f>IF('CALCULADORA TIPS Pesos N-20'!$F$10="Contractual",ROUND('Tabla de Amortizacion'!B106,8),IF('CALCULADORA TIPS Pesos N-20'!$F$10="6% (Medio)",ROUND('Tabla de Amortizacion'!E106,8),IF('CALCULADORA TIPS Pesos N-20'!$F$10="10% (Medio Alto)",ROUND('Tabla de Amortizacion'!H106,8),IF('CALCULADORA TIPS Pesos N-20'!$F$10="14% (Alto)",ROUND('Tabla de Amortizacion'!K106,8),IF('CALCULADORA TIPS Pesos N-20'!$F$10=20%,ROUND('Tabla de Amortizacion'!N106,8),ROUND('Tabla de Amortizacion'!Q106,8))))))</f>
        <v>0</v>
      </c>
      <c r="C105" s="117">
        <f>IF('CALCULADORA TIPS Pesos N-20'!$F$10="Contractual",ROUND('Tabla de Amortizacion'!C106,8),IF('CALCULADORA TIPS Pesos N-20'!$F$10="6% (Medio)",ROUND('Tabla de Amortizacion'!F106,8),IF('CALCULADORA TIPS Pesos N-20'!$F$10="10% (Medio Alto)",ROUND('Tabla de Amortizacion'!I106,8),IF('CALCULADORA TIPS Pesos N-20'!$F$10="14% (Alto)",ROUND('Tabla de Amortizacion'!L106,8),IF('CALCULADORA TIPS Pesos N-20'!$F$10=20%,ROUND('Tabla de Amortizacion'!O106,8),ROUND('Tabla de Amortizacion'!R106,8))))))</f>
        <v>0.00448882</v>
      </c>
    </row>
    <row r="106" spans="1:3" ht="12.75">
      <c r="A106" s="116">
        <f t="shared" si="3"/>
        <v>46938</v>
      </c>
      <c r="B106" s="117">
        <f>IF('CALCULADORA TIPS Pesos N-20'!$F$10="Contractual",ROUND('Tabla de Amortizacion'!B107,8),IF('CALCULADORA TIPS Pesos N-20'!$F$10="6% (Medio)",ROUND('Tabla de Amortizacion'!E107,8),IF('CALCULADORA TIPS Pesos N-20'!$F$10="10% (Medio Alto)",ROUND('Tabla de Amortizacion'!H107,8),IF('CALCULADORA TIPS Pesos N-20'!$F$10="14% (Alto)",ROUND('Tabla de Amortizacion'!K107,8),IF('CALCULADORA TIPS Pesos N-20'!$F$10=20%,ROUND('Tabla de Amortizacion'!N107,8),ROUND('Tabla de Amortizacion'!Q107,8))))))</f>
        <v>0</v>
      </c>
      <c r="C106" s="117">
        <f>IF('CALCULADORA TIPS Pesos N-20'!$F$10="Contractual",ROUND('Tabla de Amortizacion'!C107,8),IF('CALCULADORA TIPS Pesos N-20'!$F$10="6% (Medio)",ROUND('Tabla de Amortizacion'!F107,8),IF('CALCULADORA TIPS Pesos N-20'!$F$10="10% (Medio Alto)",ROUND('Tabla de Amortizacion'!I107,8),IF('CALCULADORA TIPS Pesos N-20'!$F$10="14% (Alto)",ROUND('Tabla de Amortizacion'!L107,8),IF('CALCULADORA TIPS Pesos N-20'!$F$10=20%,ROUND('Tabla de Amortizacion'!O107,8),ROUND('Tabla de Amortizacion'!R107,8))))))</f>
        <v>0.00436648</v>
      </c>
    </row>
    <row r="107" spans="1:3" ht="12.75">
      <c r="A107" s="116">
        <f t="shared" si="3"/>
        <v>46969</v>
      </c>
      <c r="B107" s="117">
        <f>IF('CALCULADORA TIPS Pesos N-20'!$F$10="Contractual",ROUND('Tabla de Amortizacion'!B108,8),IF('CALCULADORA TIPS Pesos N-20'!$F$10="6% (Medio)",ROUND('Tabla de Amortizacion'!E108,8),IF('CALCULADORA TIPS Pesos N-20'!$F$10="10% (Medio Alto)",ROUND('Tabla de Amortizacion'!H108,8),IF('CALCULADORA TIPS Pesos N-20'!$F$10="14% (Alto)",ROUND('Tabla de Amortizacion'!K108,8),IF('CALCULADORA TIPS Pesos N-20'!$F$10=20%,ROUND('Tabla de Amortizacion'!N108,8),ROUND('Tabla de Amortizacion'!Q108,8))))))</f>
        <v>0</v>
      </c>
      <c r="C107" s="117">
        <f>IF('CALCULADORA TIPS Pesos N-20'!$F$10="Contractual",ROUND('Tabla de Amortizacion'!C108,8),IF('CALCULADORA TIPS Pesos N-20'!$F$10="6% (Medio)",ROUND('Tabla de Amortizacion'!F108,8),IF('CALCULADORA TIPS Pesos N-20'!$F$10="10% (Medio Alto)",ROUND('Tabla de Amortizacion'!I108,8),IF('CALCULADORA TIPS Pesos N-20'!$F$10="14% (Alto)",ROUND('Tabla de Amortizacion'!L108,8),IF('CALCULADORA TIPS Pesos N-20'!$F$10=20%,ROUND('Tabla de Amortizacion'!O108,8),ROUND('Tabla de Amortizacion'!R108,8))))))</f>
        <v>0.00426019</v>
      </c>
    </row>
    <row r="108" spans="1:3" ht="12.75">
      <c r="A108" s="116">
        <f t="shared" si="3"/>
        <v>47000</v>
      </c>
      <c r="B108" s="117">
        <f>IF('CALCULADORA TIPS Pesos N-20'!$F$10="Contractual",ROUND('Tabla de Amortizacion'!B109,8),IF('CALCULADORA TIPS Pesos N-20'!$F$10="6% (Medio)",ROUND('Tabla de Amortizacion'!E109,8),IF('CALCULADORA TIPS Pesos N-20'!$F$10="10% (Medio Alto)",ROUND('Tabla de Amortizacion'!H109,8),IF('CALCULADORA TIPS Pesos N-20'!$F$10="14% (Alto)",ROUND('Tabla de Amortizacion'!K109,8),IF('CALCULADORA TIPS Pesos N-20'!$F$10=20%,ROUND('Tabla de Amortizacion'!N109,8),ROUND('Tabla de Amortizacion'!Q109,8))))))</f>
        <v>0</v>
      </c>
      <c r="C108" s="117">
        <f>IF('CALCULADORA TIPS Pesos N-20'!$F$10="Contractual",ROUND('Tabla de Amortizacion'!C109,8),IF('CALCULADORA TIPS Pesos N-20'!$F$10="6% (Medio)",ROUND('Tabla de Amortizacion'!F109,8),IF('CALCULADORA TIPS Pesos N-20'!$F$10="10% (Medio Alto)",ROUND('Tabla de Amortizacion'!I109,8),IF('CALCULADORA TIPS Pesos N-20'!$F$10="14% (Alto)",ROUND('Tabla de Amortizacion'!L109,8),IF('CALCULADORA TIPS Pesos N-20'!$F$10=20%,ROUND('Tabla de Amortizacion'!O109,8),ROUND('Tabla de Amortizacion'!R109,8))))))</f>
        <v>0.00415251</v>
      </c>
    </row>
    <row r="109" spans="1:3" ht="12.75">
      <c r="A109" s="116">
        <f t="shared" si="3"/>
        <v>47030</v>
      </c>
      <c r="B109" s="117">
        <f>IF('CALCULADORA TIPS Pesos N-20'!$F$10="Contractual",ROUND('Tabla de Amortizacion'!B110,8),IF('CALCULADORA TIPS Pesos N-20'!$F$10="6% (Medio)",ROUND('Tabla de Amortizacion'!E110,8),IF('CALCULADORA TIPS Pesos N-20'!$F$10="10% (Medio Alto)",ROUND('Tabla de Amortizacion'!H110,8),IF('CALCULADORA TIPS Pesos N-20'!$F$10="14% (Alto)",ROUND('Tabla de Amortizacion'!K110,8),IF('CALCULADORA TIPS Pesos N-20'!$F$10=20%,ROUND('Tabla de Amortizacion'!N110,8),ROUND('Tabla de Amortizacion'!Q110,8))))))</f>
        <v>0</v>
      </c>
      <c r="C109" s="117">
        <f>IF('CALCULADORA TIPS Pesos N-20'!$F$10="Contractual",ROUND('Tabla de Amortizacion'!C110,8),IF('CALCULADORA TIPS Pesos N-20'!$F$10="6% (Medio)",ROUND('Tabla de Amortizacion'!F110,8),IF('CALCULADORA TIPS Pesos N-20'!$F$10="10% (Medio Alto)",ROUND('Tabla de Amortizacion'!I110,8),IF('CALCULADORA TIPS Pesos N-20'!$F$10="14% (Alto)",ROUND('Tabla de Amortizacion'!L110,8),IF('CALCULADORA TIPS Pesos N-20'!$F$10=20%,ROUND('Tabla de Amortizacion'!O110,8),ROUND('Tabla de Amortizacion'!R110,8))))))</f>
        <v>0.00369488</v>
      </c>
    </row>
    <row r="110" spans="1:3" ht="12.75">
      <c r="A110" s="116">
        <f t="shared" si="3"/>
        <v>47061</v>
      </c>
      <c r="B110" s="117">
        <f>IF('CALCULADORA TIPS Pesos N-20'!$F$10="Contractual",ROUND('Tabla de Amortizacion'!B111,8),IF('CALCULADORA TIPS Pesos N-20'!$F$10="6% (Medio)",ROUND('Tabla de Amortizacion'!E111,8),IF('CALCULADORA TIPS Pesos N-20'!$F$10="10% (Medio Alto)",ROUND('Tabla de Amortizacion'!H111,8),IF('CALCULADORA TIPS Pesos N-20'!$F$10="14% (Alto)",ROUND('Tabla de Amortizacion'!K111,8),IF('CALCULADORA TIPS Pesos N-20'!$F$10=20%,ROUND('Tabla de Amortizacion'!N111,8),ROUND('Tabla de Amortizacion'!Q111,8))))))</f>
        <v>0</v>
      </c>
      <c r="C110" s="117">
        <f>IF('CALCULADORA TIPS Pesos N-20'!$F$10="Contractual",ROUND('Tabla de Amortizacion'!C111,8),IF('CALCULADORA TIPS Pesos N-20'!$F$10="6% (Medio)",ROUND('Tabla de Amortizacion'!F111,8),IF('CALCULADORA TIPS Pesos N-20'!$F$10="10% (Medio Alto)",ROUND('Tabla de Amortizacion'!I111,8),IF('CALCULADORA TIPS Pesos N-20'!$F$10="14% (Alto)",ROUND('Tabla de Amortizacion'!L111,8),IF('CALCULADORA TIPS Pesos N-20'!$F$10=20%,ROUND('Tabla de Amortizacion'!O111,8),ROUND('Tabla de Amortizacion'!R111,8))))))</f>
        <v>0.00396062</v>
      </c>
    </row>
    <row r="111" spans="1:3" ht="12.75">
      <c r="A111" s="116">
        <f t="shared" si="3"/>
        <v>47091</v>
      </c>
      <c r="B111" s="117">
        <f>IF('CALCULADORA TIPS Pesos N-20'!$F$10="Contractual",ROUND('Tabla de Amortizacion'!B112,8),IF('CALCULADORA TIPS Pesos N-20'!$F$10="6% (Medio)",ROUND('Tabla de Amortizacion'!E112,8),IF('CALCULADORA TIPS Pesos N-20'!$F$10="10% (Medio Alto)",ROUND('Tabla de Amortizacion'!H112,8),IF('CALCULADORA TIPS Pesos N-20'!$F$10="14% (Alto)",ROUND('Tabla de Amortizacion'!K112,8),IF('CALCULADORA TIPS Pesos N-20'!$F$10=20%,ROUND('Tabla de Amortizacion'!N112,8),ROUND('Tabla de Amortizacion'!Q112,8))))))</f>
        <v>0</v>
      </c>
      <c r="C111" s="117">
        <f>IF('CALCULADORA TIPS Pesos N-20'!$F$10="Contractual",ROUND('Tabla de Amortizacion'!C112,8),IF('CALCULADORA TIPS Pesos N-20'!$F$10="6% (Medio)",ROUND('Tabla de Amortizacion'!F112,8),IF('CALCULADORA TIPS Pesos N-20'!$F$10="10% (Medio Alto)",ROUND('Tabla de Amortizacion'!I112,8),IF('CALCULADORA TIPS Pesos N-20'!$F$10="14% (Alto)",ROUND('Tabla de Amortizacion'!L112,8),IF('CALCULADORA TIPS Pesos N-20'!$F$10=20%,ROUND('Tabla de Amortizacion'!O112,8),ROUND('Tabla de Amortizacion'!R112,8))))))</f>
        <v>0.00386554</v>
      </c>
    </row>
    <row r="112" spans="1:3" ht="12.75">
      <c r="A112" s="116">
        <f t="shared" si="3"/>
        <v>47122</v>
      </c>
      <c r="B112" s="117">
        <f>IF('CALCULADORA TIPS Pesos N-20'!$F$10="Contractual",ROUND('Tabla de Amortizacion'!B113,8),IF('CALCULADORA TIPS Pesos N-20'!$F$10="6% (Medio)",ROUND('Tabla de Amortizacion'!E113,8),IF('CALCULADORA TIPS Pesos N-20'!$F$10="10% (Medio Alto)",ROUND('Tabla de Amortizacion'!H113,8),IF('CALCULADORA TIPS Pesos N-20'!$F$10="14% (Alto)",ROUND('Tabla de Amortizacion'!K113,8),IF('CALCULADORA TIPS Pesos N-20'!$F$10=20%,ROUND('Tabla de Amortizacion'!N113,8),ROUND('Tabla de Amortizacion'!Q113,8))))))</f>
        <v>0</v>
      </c>
      <c r="C112" s="117">
        <f>IF('CALCULADORA TIPS Pesos N-20'!$F$10="Contractual",ROUND('Tabla de Amortizacion'!C113,8),IF('CALCULADORA TIPS Pesos N-20'!$F$10="6% (Medio)",ROUND('Tabla de Amortizacion'!F113,8),IF('CALCULADORA TIPS Pesos N-20'!$F$10="10% (Medio Alto)",ROUND('Tabla de Amortizacion'!I113,8),IF('CALCULADORA TIPS Pesos N-20'!$F$10="14% (Alto)",ROUND('Tabla de Amortizacion'!L113,8),IF('CALCULADORA TIPS Pesos N-20'!$F$10=20%,ROUND('Tabla de Amortizacion'!O113,8),ROUND('Tabla de Amortizacion'!R113,8))))))</f>
        <v>0.00376503</v>
      </c>
    </row>
    <row r="113" spans="1:3" ht="12.75">
      <c r="A113" s="116">
        <f t="shared" si="3"/>
        <v>47153</v>
      </c>
      <c r="B113" s="117">
        <f>IF('CALCULADORA TIPS Pesos N-20'!$F$10="Contractual",ROUND('Tabla de Amortizacion'!B114,8),IF('CALCULADORA TIPS Pesos N-20'!$F$10="6% (Medio)",ROUND('Tabla de Amortizacion'!E114,8),IF('CALCULADORA TIPS Pesos N-20'!$F$10="10% (Medio Alto)",ROUND('Tabla de Amortizacion'!H114,8),IF('CALCULADORA TIPS Pesos N-20'!$F$10="14% (Alto)",ROUND('Tabla de Amortizacion'!K114,8),IF('CALCULADORA TIPS Pesos N-20'!$F$10=20%,ROUND('Tabla de Amortizacion'!N114,8),ROUND('Tabla de Amortizacion'!Q114,8))))))</f>
        <v>0</v>
      </c>
      <c r="C113" s="117">
        <f>IF('CALCULADORA TIPS Pesos N-20'!$F$10="Contractual",ROUND('Tabla de Amortizacion'!C114,8),IF('CALCULADORA TIPS Pesos N-20'!$F$10="6% (Medio)",ROUND('Tabla de Amortizacion'!F114,8),IF('CALCULADORA TIPS Pesos N-20'!$F$10="10% (Medio Alto)",ROUND('Tabla de Amortizacion'!I114,8),IF('CALCULADORA TIPS Pesos N-20'!$F$10="14% (Alto)",ROUND('Tabla de Amortizacion'!L114,8),IF('CALCULADORA TIPS Pesos N-20'!$F$10=20%,ROUND('Tabla de Amortizacion'!O114,8),ROUND('Tabla de Amortizacion'!R114,8))))))</f>
        <v>0.00367426</v>
      </c>
    </row>
    <row r="114" spans="1:3" ht="12.75">
      <c r="A114" s="116">
        <f t="shared" si="3"/>
        <v>47181</v>
      </c>
      <c r="B114" s="117">
        <f>IF('CALCULADORA TIPS Pesos N-20'!$F$10="Contractual",ROUND('Tabla de Amortizacion'!B115,8),IF('CALCULADORA TIPS Pesos N-20'!$F$10="6% (Medio)",ROUND('Tabla de Amortizacion'!E115,8),IF('CALCULADORA TIPS Pesos N-20'!$F$10="10% (Medio Alto)",ROUND('Tabla de Amortizacion'!H115,8),IF('CALCULADORA TIPS Pesos N-20'!$F$10="14% (Alto)",ROUND('Tabla de Amortizacion'!K115,8),IF('CALCULADORA TIPS Pesos N-20'!$F$10=20%,ROUND('Tabla de Amortizacion'!N115,8),ROUND('Tabla de Amortizacion'!Q115,8))))))</f>
        <v>0</v>
      </c>
      <c r="C114" s="117">
        <f>IF('CALCULADORA TIPS Pesos N-20'!$F$10="Contractual",ROUND('Tabla de Amortizacion'!C115,8),IF('CALCULADORA TIPS Pesos N-20'!$F$10="6% (Medio)",ROUND('Tabla de Amortizacion'!F115,8),IF('CALCULADORA TIPS Pesos N-20'!$F$10="10% (Medio Alto)",ROUND('Tabla de Amortizacion'!I115,8),IF('CALCULADORA TIPS Pesos N-20'!$F$10="14% (Alto)",ROUND('Tabla de Amortizacion'!L115,8),IF('CALCULADORA TIPS Pesos N-20'!$F$10=20%,ROUND('Tabla de Amortizacion'!O115,8),ROUND('Tabla de Amortizacion'!R115,8))))))</f>
        <v>0.00358145</v>
      </c>
    </row>
    <row r="115" spans="1:3" ht="12.75">
      <c r="A115" s="116">
        <f t="shared" si="3"/>
        <v>47212</v>
      </c>
      <c r="B115" s="117">
        <f>IF('CALCULADORA TIPS Pesos N-20'!$F$10="Contractual",ROUND('Tabla de Amortizacion'!B116,8),IF('CALCULADORA TIPS Pesos N-20'!$F$10="6% (Medio)",ROUND('Tabla de Amortizacion'!E116,8),IF('CALCULADORA TIPS Pesos N-20'!$F$10="10% (Medio Alto)",ROUND('Tabla de Amortizacion'!H116,8),IF('CALCULADORA TIPS Pesos N-20'!$F$10="14% (Alto)",ROUND('Tabla de Amortizacion'!K116,8),IF('CALCULADORA TIPS Pesos N-20'!$F$10=20%,ROUND('Tabla de Amortizacion'!N116,8),ROUND('Tabla de Amortizacion'!Q116,8))))))</f>
        <v>0</v>
      </c>
      <c r="C115" s="117">
        <f>IF('CALCULADORA TIPS Pesos N-20'!$F$10="Contractual",ROUND('Tabla de Amortizacion'!C116,8),IF('CALCULADORA TIPS Pesos N-20'!$F$10="6% (Medio)",ROUND('Tabla de Amortizacion'!F116,8),IF('CALCULADORA TIPS Pesos N-20'!$F$10="10% (Medio Alto)",ROUND('Tabla de Amortizacion'!I116,8),IF('CALCULADORA TIPS Pesos N-20'!$F$10="14% (Alto)",ROUND('Tabla de Amortizacion'!L116,8),IF('CALCULADORA TIPS Pesos N-20'!$F$10=20%,ROUND('Tabla de Amortizacion'!O116,8),ROUND('Tabla de Amortizacion'!R116,8))))))</f>
        <v>0.00282273</v>
      </c>
    </row>
    <row r="116" spans="1:3" ht="12.75">
      <c r="A116" s="116">
        <f t="shared" si="3"/>
        <v>47242</v>
      </c>
      <c r="B116" s="117">
        <f>IF('CALCULADORA TIPS Pesos N-20'!$F$10="Contractual",ROUND('Tabla de Amortizacion'!B117,8),IF('CALCULADORA TIPS Pesos N-20'!$F$10="6% (Medio)",ROUND('Tabla de Amortizacion'!E117,8),IF('CALCULADORA TIPS Pesos N-20'!$F$10="10% (Medio Alto)",ROUND('Tabla de Amortizacion'!H117,8),IF('CALCULADORA TIPS Pesos N-20'!$F$10="14% (Alto)",ROUND('Tabla de Amortizacion'!K117,8),IF('CALCULADORA TIPS Pesos N-20'!$F$10=20%,ROUND('Tabla de Amortizacion'!N117,8),ROUND('Tabla de Amortizacion'!Q117,8))))))</f>
        <v>0</v>
      </c>
      <c r="C116" s="117">
        <f>IF('CALCULADORA TIPS Pesos N-20'!$F$10="Contractual",ROUND('Tabla de Amortizacion'!C117,8),IF('CALCULADORA TIPS Pesos N-20'!$F$10="6% (Medio)",ROUND('Tabla de Amortizacion'!F117,8),IF('CALCULADORA TIPS Pesos N-20'!$F$10="10% (Medio Alto)",ROUND('Tabla de Amortizacion'!I117,8),IF('CALCULADORA TIPS Pesos N-20'!$F$10="14% (Alto)",ROUND('Tabla de Amortizacion'!L117,8),IF('CALCULADORA TIPS Pesos N-20'!$F$10=20%,ROUND('Tabla de Amortizacion'!O117,8),ROUND('Tabla de Amortizacion'!R117,8))))))</f>
        <v>0</v>
      </c>
    </row>
    <row r="117" spans="1:3" ht="12.75">
      <c r="A117" s="116">
        <f t="shared" si="3"/>
        <v>47273</v>
      </c>
      <c r="B117" s="117">
        <f>IF('CALCULADORA TIPS Pesos N-20'!$F$10="Contractual",ROUND('Tabla de Amortizacion'!B118,8),IF('CALCULADORA TIPS Pesos N-20'!$F$10="6% (Medio)",ROUND('Tabla de Amortizacion'!E118,8),IF('CALCULADORA TIPS Pesos N-20'!$F$10="10% (Medio Alto)",ROUND('Tabla de Amortizacion'!H118,8),IF('CALCULADORA TIPS Pesos N-20'!$F$10="14% (Alto)",ROUND('Tabla de Amortizacion'!K118,8),IF('CALCULADORA TIPS Pesos N-20'!$F$10=20%,ROUND('Tabla de Amortizacion'!N118,8),ROUND('Tabla de Amortizacion'!Q118,8))))))</f>
        <v>0</v>
      </c>
      <c r="C117" s="117">
        <f>IF('CALCULADORA TIPS Pesos N-20'!$F$10="Contractual",ROUND('Tabla de Amortizacion'!C118,8),IF('CALCULADORA TIPS Pesos N-20'!$F$10="6% (Medio)",ROUND('Tabla de Amortizacion'!F118,8),IF('CALCULADORA TIPS Pesos N-20'!$F$10="10% (Medio Alto)",ROUND('Tabla de Amortizacion'!I118,8),IF('CALCULADORA TIPS Pesos N-20'!$F$10="14% (Alto)",ROUND('Tabla de Amortizacion'!L118,8),IF('CALCULADORA TIPS Pesos N-20'!$F$10=20%,ROUND('Tabla de Amortizacion'!O118,8),ROUND('Tabla de Amortizacion'!R118,8))))))</f>
        <v>0</v>
      </c>
    </row>
    <row r="118" spans="1:3" ht="12.75">
      <c r="A118" s="116">
        <f t="shared" si="3"/>
        <v>47303</v>
      </c>
      <c r="B118" s="117">
        <f>IF('CALCULADORA TIPS Pesos N-20'!$F$10="Contractual",ROUND('Tabla de Amortizacion'!B119,8),IF('CALCULADORA TIPS Pesos N-20'!$F$10="6% (Medio)",ROUND('Tabla de Amortizacion'!E119,8),IF('CALCULADORA TIPS Pesos N-20'!$F$10="10% (Medio Alto)",ROUND('Tabla de Amortizacion'!H119,8),IF('CALCULADORA TIPS Pesos N-20'!$F$10="14% (Alto)",ROUND('Tabla de Amortizacion'!K119,8),IF('CALCULADORA TIPS Pesos N-20'!$F$10=20%,ROUND('Tabla de Amortizacion'!N119,8),ROUND('Tabla de Amortizacion'!Q119,8))))))</f>
        <v>0</v>
      </c>
      <c r="C118" s="117">
        <f>IF('CALCULADORA TIPS Pesos N-20'!$F$10="Contractual",ROUND('Tabla de Amortizacion'!C119,8),IF('CALCULADORA TIPS Pesos N-20'!$F$10="6% (Medio)",ROUND('Tabla de Amortizacion'!F119,8),IF('CALCULADORA TIPS Pesos N-20'!$F$10="10% (Medio Alto)",ROUND('Tabla de Amortizacion'!I119,8),IF('CALCULADORA TIPS Pesos N-20'!$F$10="14% (Alto)",ROUND('Tabla de Amortizacion'!L119,8),IF('CALCULADORA TIPS Pesos N-20'!$F$10=20%,ROUND('Tabla de Amortizacion'!O119,8),ROUND('Tabla de Amortizacion'!R119,8))))))</f>
        <v>0</v>
      </c>
    </row>
    <row r="119" spans="1:3" ht="12.75">
      <c r="A119" s="116">
        <f t="shared" si="3"/>
        <v>47334</v>
      </c>
      <c r="B119" s="117">
        <f>IF('CALCULADORA TIPS Pesos N-20'!$F$10="Contractual",ROUND('Tabla de Amortizacion'!B120,8),IF('CALCULADORA TIPS Pesos N-20'!$F$10="6% (Medio)",ROUND('Tabla de Amortizacion'!E120,8),IF('CALCULADORA TIPS Pesos N-20'!$F$10="10% (Medio Alto)",ROUND('Tabla de Amortizacion'!H120,8),IF('CALCULADORA TIPS Pesos N-20'!$F$10="14% (Alto)",ROUND('Tabla de Amortizacion'!K120,8),IF('CALCULADORA TIPS Pesos N-20'!$F$10=20%,ROUND('Tabla de Amortizacion'!N120,8),ROUND('Tabla de Amortizacion'!Q120,8))))))</f>
        <v>0</v>
      </c>
      <c r="C119" s="117">
        <f>IF('CALCULADORA TIPS Pesos N-20'!$F$10="Contractual",ROUND('Tabla de Amortizacion'!C120,8),IF('CALCULADORA TIPS Pesos N-20'!$F$10="6% (Medio)",ROUND('Tabla de Amortizacion'!F120,8),IF('CALCULADORA TIPS Pesos N-20'!$F$10="10% (Medio Alto)",ROUND('Tabla de Amortizacion'!I120,8),IF('CALCULADORA TIPS Pesos N-20'!$F$10="14% (Alto)",ROUND('Tabla de Amortizacion'!L120,8),IF('CALCULADORA TIPS Pesos N-20'!$F$10=20%,ROUND('Tabla de Amortizacion'!O120,8),ROUND('Tabla de Amortizacion'!R120,8))))))</f>
        <v>0</v>
      </c>
    </row>
    <row r="120" spans="1:3" ht="12.75">
      <c r="A120" s="116">
        <f t="shared" si="3"/>
        <v>47365</v>
      </c>
      <c r="B120" s="117">
        <f>IF('CALCULADORA TIPS Pesos N-20'!$F$10="Contractual",ROUND('Tabla de Amortizacion'!B121,8),IF('CALCULADORA TIPS Pesos N-20'!$F$10="6% (Medio)",ROUND('Tabla de Amortizacion'!E121,8),IF('CALCULADORA TIPS Pesos N-20'!$F$10="10% (Medio Alto)",ROUND('Tabla de Amortizacion'!H121,8),IF('CALCULADORA TIPS Pesos N-20'!$F$10="14% (Alto)",ROUND('Tabla de Amortizacion'!K121,8),IF('CALCULADORA TIPS Pesos N-20'!$F$10=20%,ROUND('Tabla de Amortizacion'!N121,8),ROUND('Tabla de Amortizacion'!Q121,8))))))</f>
        <v>0</v>
      </c>
      <c r="C120" s="117">
        <f>IF('CALCULADORA TIPS Pesos N-20'!$F$10="Contractual",ROUND('Tabla de Amortizacion'!C121,8),IF('CALCULADORA TIPS Pesos N-20'!$F$10="6% (Medio)",ROUND('Tabla de Amortizacion'!F121,8),IF('CALCULADORA TIPS Pesos N-20'!$F$10="10% (Medio Alto)",ROUND('Tabla de Amortizacion'!I121,8),IF('CALCULADORA TIPS Pesos N-20'!$F$10="14% (Alto)",ROUND('Tabla de Amortizacion'!L121,8),IF('CALCULADORA TIPS Pesos N-20'!$F$10=20%,ROUND('Tabla de Amortizacion'!O121,8),ROUND('Tabla de Amortizacion'!R121,8))))))</f>
        <v>0</v>
      </c>
    </row>
    <row r="121" spans="1:3" ht="12.75">
      <c r="A121" s="116">
        <f t="shared" si="3"/>
        <v>47395</v>
      </c>
      <c r="B121" s="117">
        <f>IF('CALCULADORA TIPS Pesos N-20'!$F$10="Contractual",ROUND('Tabla de Amortizacion'!B122,8),IF('CALCULADORA TIPS Pesos N-20'!$F$10="6% (Medio)",ROUND('Tabla de Amortizacion'!E122,8),IF('CALCULADORA TIPS Pesos N-20'!$F$10="10% (Medio Alto)",ROUND('Tabla de Amortizacion'!H122,8),IF('CALCULADORA TIPS Pesos N-20'!$F$10="14% (Alto)",ROUND('Tabla de Amortizacion'!K122,8),IF('CALCULADORA TIPS Pesos N-20'!$F$10=20%,ROUND('Tabla de Amortizacion'!N122,8),ROUND('Tabla de Amortizacion'!Q122,8))))))</f>
        <v>0</v>
      </c>
      <c r="C121" s="117">
        <f>IF('CALCULADORA TIPS Pesos N-20'!$F$10="Contractual",ROUND('Tabla de Amortizacion'!C122,8),IF('CALCULADORA TIPS Pesos N-20'!$F$10="6% (Medio)",ROUND('Tabla de Amortizacion'!F122,8),IF('CALCULADORA TIPS Pesos N-20'!$F$10="10% (Medio Alto)",ROUND('Tabla de Amortizacion'!I122,8),IF('CALCULADORA TIPS Pesos N-20'!$F$10="14% (Alto)",ROUND('Tabla de Amortizacion'!L122,8),IF('CALCULADORA TIPS Pesos N-20'!$F$10=20%,ROUND('Tabla de Amortizacion'!O122,8),ROUND('Tabla de Amortizacion'!R122,8))))))</f>
        <v>0</v>
      </c>
    </row>
    <row r="122" spans="1:3" ht="12.75">
      <c r="A122" s="116">
        <f t="shared" si="3"/>
        <v>47426</v>
      </c>
      <c r="B122" s="117">
        <f>IF('CALCULADORA TIPS Pesos N-20'!$F$10="Contractual",ROUND('Tabla de Amortizacion'!B123,8),IF('CALCULADORA TIPS Pesos N-20'!$F$10="6% (Medio)",ROUND('Tabla de Amortizacion'!E123,8),IF('CALCULADORA TIPS Pesos N-20'!$F$10="10% (Medio Alto)",ROUND('Tabla de Amortizacion'!H123,8),IF('CALCULADORA TIPS Pesos N-20'!$F$10="14% (Alto)",ROUND('Tabla de Amortizacion'!K123,8),IF('CALCULADORA TIPS Pesos N-20'!$F$10=20%,ROUND('Tabla de Amortizacion'!N123,8),ROUND('Tabla de Amortizacion'!Q123,8))))))</f>
        <v>0</v>
      </c>
      <c r="C122" s="117">
        <f>IF('CALCULADORA TIPS Pesos N-20'!$F$10="Contractual",ROUND('Tabla de Amortizacion'!C123,8),IF('CALCULADORA TIPS Pesos N-20'!$F$10="6% (Medio)",ROUND('Tabla de Amortizacion'!F123,8),IF('CALCULADORA TIPS Pesos N-20'!$F$10="10% (Medio Alto)",ROUND('Tabla de Amortizacion'!I123,8),IF('CALCULADORA TIPS Pesos N-20'!$F$10="14% (Alto)",ROUND('Tabla de Amortizacion'!L123,8),IF('CALCULADORA TIPS Pesos N-20'!$F$10=20%,ROUND('Tabla de Amortizacion'!O123,8),ROUND('Tabla de Amortizacion'!R123,8))))))</f>
        <v>0</v>
      </c>
    </row>
    <row r="123" spans="1:3" ht="12.75">
      <c r="A123" s="116">
        <f t="shared" si="3"/>
        <v>47456</v>
      </c>
      <c r="B123" s="117">
        <f>IF('CALCULADORA TIPS Pesos N-20'!$F$10="Contractual",ROUND('Tabla de Amortizacion'!B124,8),IF('CALCULADORA TIPS Pesos N-20'!$F$10="6% (Medio)",ROUND('Tabla de Amortizacion'!E124,8),IF('CALCULADORA TIPS Pesos N-20'!$F$10="10% (Medio Alto)",ROUND('Tabla de Amortizacion'!H124,8),IF('CALCULADORA TIPS Pesos N-20'!$F$10="14% (Alto)",ROUND('Tabla de Amortizacion'!K124,8),IF('CALCULADORA TIPS Pesos N-20'!$F$10=20%,ROUND('Tabla de Amortizacion'!N124,8),ROUND('Tabla de Amortizacion'!Q124,8))))))</f>
        <v>0</v>
      </c>
      <c r="C123" s="117">
        <f>IF('CALCULADORA TIPS Pesos N-20'!$F$10="Contractual",ROUND('Tabla de Amortizacion'!C124,8),IF('CALCULADORA TIPS Pesos N-20'!$F$10="6% (Medio)",ROUND('Tabla de Amortizacion'!F124,8),IF('CALCULADORA TIPS Pesos N-20'!$F$10="10% (Medio Alto)",ROUND('Tabla de Amortizacion'!I124,8),IF('CALCULADORA TIPS Pesos N-20'!$F$10="14% (Alto)",ROUND('Tabla de Amortizacion'!L124,8),IF('CALCULADORA TIPS Pesos N-20'!$F$10=20%,ROUND('Tabla de Amortizacion'!O124,8),ROUND('Tabla de Amortizacion'!R124,8))))))</f>
        <v>0</v>
      </c>
    </row>
    <row r="124" spans="1:3" ht="12.75">
      <c r="A124" s="116">
        <f t="shared" si="3"/>
        <v>47487</v>
      </c>
      <c r="B124" s="117">
        <f>IF('CALCULADORA TIPS Pesos N-20'!$F$10="Contractual",ROUND('Tabla de Amortizacion'!B125,8),IF('CALCULADORA TIPS Pesos N-20'!$F$10="6% (Medio)",ROUND('Tabla de Amortizacion'!E125,8),IF('CALCULADORA TIPS Pesos N-20'!$F$10="10% (Medio Alto)",ROUND('Tabla de Amortizacion'!H125,8),IF('CALCULADORA TIPS Pesos N-20'!$F$10="14% (Alto)",ROUND('Tabla de Amortizacion'!K125,8),IF('CALCULADORA TIPS Pesos N-20'!$F$10=20%,ROUND('Tabla de Amortizacion'!N125,8),ROUND('Tabla de Amortizacion'!Q125,8))))))</f>
        <v>0</v>
      </c>
      <c r="C124" s="117">
        <f>IF('CALCULADORA TIPS Pesos N-20'!$F$10="Contractual",ROUND('Tabla de Amortizacion'!C125,8),IF('CALCULADORA TIPS Pesos N-20'!$F$10="6% (Medio)",ROUND('Tabla de Amortizacion'!F125,8),IF('CALCULADORA TIPS Pesos N-20'!$F$10="10% (Medio Alto)",ROUND('Tabla de Amortizacion'!I125,8),IF('CALCULADORA TIPS Pesos N-20'!$F$10="14% (Alto)",ROUND('Tabla de Amortizacion'!L125,8),IF('CALCULADORA TIPS Pesos N-20'!$F$10=20%,ROUND('Tabla de Amortizacion'!O125,8),ROUND('Tabla de Amortizacion'!R125,8))))))</f>
        <v>0</v>
      </c>
    </row>
    <row r="125" spans="1:3" ht="12.75">
      <c r="A125" s="116">
        <f t="shared" si="3"/>
        <v>47518</v>
      </c>
      <c r="B125" s="117">
        <f>IF('CALCULADORA TIPS Pesos N-20'!$F$10="Contractual",ROUND('Tabla de Amortizacion'!B126,8),IF('CALCULADORA TIPS Pesos N-20'!$F$10="6% (Medio)",ROUND('Tabla de Amortizacion'!E126,8),IF('CALCULADORA TIPS Pesos N-20'!$F$10="10% (Medio Alto)",ROUND('Tabla de Amortizacion'!H126,8),IF('CALCULADORA TIPS Pesos N-20'!$F$10="14% (Alto)",ROUND('Tabla de Amortizacion'!K126,8),IF('CALCULADORA TIPS Pesos N-20'!$F$10=20%,ROUND('Tabla de Amortizacion'!N126,8),ROUND('Tabla de Amortizacion'!Q126,8))))))</f>
        <v>0</v>
      </c>
      <c r="C125" s="117">
        <f>IF('CALCULADORA TIPS Pesos N-20'!$F$10="Contractual",ROUND('Tabla de Amortizacion'!C126,8),IF('CALCULADORA TIPS Pesos N-20'!$F$10="6% (Medio)",ROUND('Tabla de Amortizacion'!F126,8),IF('CALCULADORA TIPS Pesos N-20'!$F$10="10% (Medio Alto)",ROUND('Tabla de Amortizacion'!I126,8),IF('CALCULADORA TIPS Pesos N-20'!$F$10="14% (Alto)",ROUND('Tabla de Amortizacion'!L126,8),IF('CALCULADORA TIPS Pesos N-20'!$F$10=20%,ROUND('Tabla de Amortizacion'!O126,8),ROUND('Tabla de Amortizacion'!R126,8))))))</f>
        <v>0</v>
      </c>
    </row>
    <row r="126" spans="1:3" ht="12.75">
      <c r="A126" s="116">
        <f t="shared" si="3"/>
        <v>47546</v>
      </c>
      <c r="B126" s="117">
        <f>IF('CALCULADORA TIPS Pesos N-20'!$F$10="Contractual",ROUND('Tabla de Amortizacion'!B127,8),IF('CALCULADORA TIPS Pesos N-20'!$F$10="6% (Medio)",ROUND('Tabla de Amortizacion'!E127,8),IF('CALCULADORA TIPS Pesos N-20'!$F$10="10% (Medio Alto)",ROUND('Tabla de Amortizacion'!H127,8),IF('CALCULADORA TIPS Pesos N-20'!$F$10="14% (Alto)",ROUND('Tabla de Amortizacion'!K127,8),IF('CALCULADORA TIPS Pesos N-20'!$F$10=20%,ROUND('Tabla de Amortizacion'!N127,8),ROUND('Tabla de Amortizacion'!Q127,8))))))</f>
        <v>0</v>
      </c>
      <c r="C126" s="117">
        <f>IF('CALCULADORA TIPS Pesos N-20'!$F$10="Contractual",ROUND('Tabla de Amortizacion'!C127,8),IF('CALCULADORA TIPS Pesos N-20'!$F$10="6% (Medio)",ROUND('Tabla de Amortizacion'!F127,8),IF('CALCULADORA TIPS Pesos N-20'!$F$10="10% (Medio Alto)",ROUND('Tabla de Amortizacion'!I127,8),IF('CALCULADORA TIPS Pesos N-20'!$F$10="14% (Alto)",ROUND('Tabla de Amortizacion'!L127,8),IF('CALCULADORA TIPS Pesos N-20'!$F$10=20%,ROUND('Tabla de Amortizacion'!O127,8),ROUND('Tabla de Amortizacion'!R127,8))))))</f>
        <v>0</v>
      </c>
    </row>
    <row r="127" spans="1:3" ht="12.75">
      <c r="A127" s="116">
        <f t="shared" si="3"/>
        <v>47577</v>
      </c>
      <c r="B127" s="117">
        <f>IF('CALCULADORA TIPS Pesos N-20'!$F$10="Contractual",ROUND('Tabla de Amortizacion'!B128,8),IF('CALCULADORA TIPS Pesos N-20'!$F$10="6% (Medio)",ROUND('Tabla de Amortizacion'!E128,8),IF('CALCULADORA TIPS Pesos N-20'!$F$10="10% (Medio Alto)",ROUND('Tabla de Amortizacion'!H128,8),IF('CALCULADORA TIPS Pesos N-20'!$F$10="14% (Alto)",ROUND('Tabla de Amortizacion'!K128,8),IF('CALCULADORA TIPS Pesos N-20'!$F$10=20%,ROUND('Tabla de Amortizacion'!N128,8),ROUND('Tabla de Amortizacion'!Q128,8))))))</f>
        <v>0</v>
      </c>
      <c r="C127" s="117">
        <f>IF('CALCULADORA TIPS Pesos N-20'!$F$10="Contractual",ROUND('Tabla de Amortizacion'!C128,8),IF('CALCULADORA TIPS Pesos N-20'!$F$10="6% (Medio)",ROUND('Tabla de Amortizacion'!F128,8),IF('CALCULADORA TIPS Pesos N-20'!$F$10="10% (Medio Alto)",ROUND('Tabla de Amortizacion'!I128,8),IF('CALCULADORA TIPS Pesos N-20'!$F$10="14% (Alto)",ROUND('Tabla de Amortizacion'!L128,8),IF('CALCULADORA TIPS Pesos N-20'!$F$10=20%,ROUND('Tabla de Amortizacion'!O128,8),ROUND('Tabla de Amortizacion'!R128,8))))))</f>
        <v>0</v>
      </c>
    </row>
    <row r="128" spans="1:3" ht="12.75">
      <c r="A128" s="116">
        <f t="shared" si="3"/>
        <v>47607</v>
      </c>
      <c r="B128" s="117">
        <f>IF('CALCULADORA TIPS Pesos N-20'!$F$10="Contractual",ROUND('Tabla de Amortizacion'!B129,8),IF('CALCULADORA TIPS Pesos N-20'!$F$10="6% (Medio)",ROUND('Tabla de Amortizacion'!E129,8),IF('CALCULADORA TIPS Pesos N-20'!$F$10="10% (Medio Alto)",ROUND('Tabla de Amortizacion'!H129,8),IF('CALCULADORA TIPS Pesos N-20'!$F$10="14% (Alto)",ROUND('Tabla de Amortizacion'!K129,8),IF('CALCULADORA TIPS Pesos N-20'!$F$10=20%,ROUND('Tabla de Amortizacion'!N129,8),ROUND('Tabla de Amortizacion'!Q129,8))))))</f>
        <v>0</v>
      </c>
      <c r="C128" s="117">
        <f>IF('CALCULADORA TIPS Pesos N-20'!$F$10="Contractual",ROUND('Tabla de Amortizacion'!C129,8),IF('CALCULADORA TIPS Pesos N-20'!$F$10="6% (Medio)",ROUND('Tabla de Amortizacion'!F129,8),IF('CALCULADORA TIPS Pesos N-20'!$F$10="10% (Medio Alto)",ROUND('Tabla de Amortizacion'!I129,8),IF('CALCULADORA TIPS Pesos N-20'!$F$10="14% (Alto)",ROUND('Tabla de Amortizacion'!L129,8),IF('CALCULADORA TIPS Pesos N-20'!$F$10=20%,ROUND('Tabla de Amortizacion'!O129,8),ROUND('Tabla de Amortizacion'!R129,8))))))</f>
        <v>0</v>
      </c>
    </row>
    <row r="129" spans="1:3" ht="12.75">
      <c r="A129" s="116">
        <f t="shared" si="3"/>
        <v>47638</v>
      </c>
      <c r="B129" s="117">
        <f>IF('CALCULADORA TIPS Pesos N-20'!$F$10="Contractual",ROUND('Tabla de Amortizacion'!B130,8),IF('CALCULADORA TIPS Pesos N-20'!$F$10="6% (Medio)",ROUND('Tabla de Amortizacion'!E130,8),IF('CALCULADORA TIPS Pesos N-20'!$F$10="10% (Medio Alto)",ROUND('Tabla de Amortizacion'!H130,8),IF('CALCULADORA TIPS Pesos N-20'!$F$10="14% (Alto)",ROUND('Tabla de Amortizacion'!K130,8),IF('CALCULADORA TIPS Pesos N-20'!$F$10=20%,ROUND('Tabla de Amortizacion'!N130,8),ROUND('Tabla de Amortizacion'!Q130,8))))))</f>
        <v>0</v>
      </c>
      <c r="C129" s="117">
        <f>IF('CALCULADORA TIPS Pesos N-20'!$F$10="Contractual",ROUND('Tabla de Amortizacion'!C130,8),IF('CALCULADORA TIPS Pesos N-20'!$F$10="6% (Medio)",ROUND('Tabla de Amortizacion'!F130,8),IF('CALCULADORA TIPS Pesos N-20'!$F$10="10% (Medio Alto)",ROUND('Tabla de Amortizacion'!I130,8),IF('CALCULADORA TIPS Pesos N-20'!$F$10="14% (Alto)",ROUND('Tabla de Amortizacion'!L130,8),IF('CALCULADORA TIPS Pesos N-20'!$F$10=20%,ROUND('Tabla de Amortizacion'!O130,8),ROUND('Tabla de Amortizacion'!R130,8))))))</f>
        <v>0</v>
      </c>
    </row>
    <row r="130" spans="1:3" ht="12.75">
      <c r="A130" s="116">
        <f t="shared" si="3"/>
        <v>47668</v>
      </c>
      <c r="B130" s="117">
        <f>IF('CALCULADORA TIPS Pesos N-20'!$F$10="Contractual",ROUND('Tabla de Amortizacion'!B131,8),IF('CALCULADORA TIPS Pesos N-20'!$F$10="6% (Medio)",ROUND('Tabla de Amortizacion'!E131,8),IF('CALCULADORA TIPS Pesos N-20'!$F$10="10% (Medio Alto)",ROUND('Tabla de Amortizacion'!H131,8),IF('CALCULADORA TIPS Pesos N-20'!$F$10="14% (Alto)",ROUND('Tabla de Amortizacion'!K131,8),IF('CALCULADORA TIPS Pesos N-20'!$F$10=20%,ROUND('Tabla de Amortizacion'!N131,8),ROUND('Tabla de Amortizacion'!Q131,8))))))</f>
        <v>0</v>
      </c>
      <c r="C130" s="117">
        <f>IF('CALCULADORA TIPS Pesos N-20'!$F$10="Contractual",ROUND('Tabla de Amortizacion'!C131,8),IF('CALCULADORA TIPS Pesos N-20'!$F$10="6% (Medio)",ROUND('Tabla de Amortizacion'!F131,8),IF('CALCULADORA TIPS Pesos N-20'!$F$10="10% (Medio Alto)",ROUND('Tabla de Amortizacion'!I131,8),IF('CALCULADORA TIPS Pesos N-20'!$F$10="14% (Alto)",ROUND('Tabla de Amortizacion'!L131,8),IF('CALCULADORA TIPS Pesos N-20'!$F$10=20%,ROUND('Tabla de Amortizacion'!O131,8),ROUND('Tabla de Amortizacion'!R131,8))))))</f>
        <v>0</v>
      </c>
    </row>
    <row r="131" spans="1:3" ht="12.75">
      <c r="A131" s="116">
        <f aca="true" t="shared" si="4" ref="A131:A162">_XLL.FECHA.MES(A130,1)</f>
        <v>47699</v>
      </c>
      <c r="B131" s="117">
        <f>IF('CALCULADORA TIPS Pesos N-20'!$F$10="Contractual",ROUND('Tabla de Amortizacion'!B132,8),IF('CALCULADORA TIPS Pesos N-20'!$F$10="6% (Medio)",ROUND('Tabla de Amortizacion'!E132,8),IF('CALCULADORA TIPS Pesos N-20'!$F$10="10% (Medio Alto)",ROUND('Tabla de Amortizacion'!H132,8),IF('CALCULADORA TIPS Pesos N-20'!$F$10="14% (Alto)",ROUND('Tabla de Amortizacion'!K132,8),IF('CALCULADORA TIPS Pesos N-20'!$F$10=20%,ROUND('Tabla de Amortizacion'!N132,8),ROUND('Tabla de Amortizacion'!Q132,8))))))</f>
        <v>0</v>
      </c>
      <c r="C131" s="117">
        <f>IF('CALCULADORA TIPS Pesos N-20'!$F$10="Contractual",ROUND('Tabla de Amortizacion'!C132,8),IF('CALCULADORA TIPS Pesos N-20'!$F$10="6% (Medio)",ROUND('Tabla de Amortizacion'!F132,8),IF('CALCULADORA TIPS Pesos N-20'!$F$10="10% (Medio Alto)",ROUND('Tabla de Amortizacion'!I132,8),IF('CALCULADORA TIPS Pesos N-20'!$F$10="14% (Alto)",ROUND('Tabla de Amortizacion'!L132,8),IF('CALCULADORA TIPS Pesos N-20'!$F$10=20%,ROUND('Tabla de Amortizacion'!O132,8),ROUND('Tabla de Amortizacion'!R132,8))))))</f>
        <v>0</v>
      </c>
    </row>
    <row r="132" spans="1:3" ht="12.75">
      <c r="A132" s="116">
        <f t="shared" si="4"/>
        <v>47730</v>
      </c>
      <c r="B132" s="117">
        <f>IF('CALCULADORA TIPS Pesos N-20'!$F$10="Contractual",ROUND('Tabla de Amortizacion'!B133,8),IF('CALCULADORA TIPS Pesos N-20'!$F$10="6% (Medio)",ROUND('Tabla de Amortizacion'!E133,8),IF('CALCULADORA TIPS Pesos N-20'!$F$10="10% (Medio Alto)",ROUND('Tabla de Amortizacion'!H133,8),IF('CALCULADORA TIPS Pesos N-20'!$F$10="14% (Alto)",ROUND('Tabla de Amortizacion'!K133,8),IF('CALCULADORA TIPS Pesos N-20'!$F$10=20%,ROUND('Tabla de Amortizacion'!N133,8),ROUND('Tabla de Amortizacion'!Q133,8))))))</f>
        <v>0</v>
      </c>
      <c r="C132" s="117">
        <f>IF('CALCULADORA TIPS Pesos N-20'!$F$10="Contractual",ROUND('Tabla de Amortizacion'!C133,8),IF('CALCULADORA TIPS Pesos N-20'!$F$10="6% (Medio)",ROUND('Tabla de Amortizacion'!F133,8),IF('CALCULADORA TIPS Pesos N-20'!$F$10="10% (Medio Alto)",ROUND('Tabla de Amortizacion'!I133,8),IF('CALCULADORA TIPS Pesos N-20'!$F$10="14% (Alto)",ROUND('Tabla de Amortizacion'!L133,8),IF('CALCULADORA TIPS Pesos N-20'!$F$10=20%,ROUND('Tabla de Amortizacion'!O133,8),ROUND('Tabla de Amortizacion'!R133,8))))))</f>
        <v>0</v>
      </c>
    </row>
    <row r="133" spans="1:3" ht="12.75">
      <c r="A133" s="116">
        <f t="shared" si="4"/>
        <v>47760</v>
      </c>
      <c r="B133" s="117">
        <f>IF('CALCULADORA TIPS Pesos N-20'!$F$10="Contractual",ROUND('Tabla de Amortizacion'!B134,8),IF('CALCULADORA TIPS Pesos N-20'!$F$10="6% (Medio)",ROUND('Tabla de Amortizacion'!E134,8),IF('CALCULADORA TIPS Pesos N-20'!$F$10="10% (Medio Alto)",ROUND('Tabla de Amortizacion'!H134,8),IF('CALCULADORA TIPS Pesos N-20'!$F$10="14% (Alto)",ROUND('Tabla de Amortizacion'!K134,8),IF('CALCULADORA TIPS Pesos N-20'!$F$10=20%,ROUND('Tabla de Amortizacion'!N134,8),ROUND('Tabla de Amortizacion'!Q134,8))))))</f>
        <v>0</v>
      </c>
      <c r="C133" s="117">
        <f>IF('CALCULADORA TIPS Pesos N-20'!$F$10="Contractual",ROUND('Tabla de Amortizacion'!C134,8),IF('CALCULADORA TIPS Pesos N-20'!$F$10="6% (Medio)",ROUND('Tabla de Amortizacion'!F134,8),IF('CALCULADORA TIPS Pesos N-20'!$F$10="10% (Medio Alto)",ROUND('Tabla de Amortizacion'!I134,8),IF('CALCULADORA TIPS Pesos N-20'!$F$10="14% (Alto)",ROUND('Tabla de Amortizacion'!L134,8),IF('CALCULADORA TIPS Pesos N-20'!$F$10=20%,ROUND('Tabla de Amortizacion'!O134,8),ROUND('Tabla de Amortizacion'!R134,8))))))</f>
        <v>0</v>
      </c>
    </row>
    <row r="134" spans="1:3" ht="12.75">
      <c r="A134" s="116">
        <f t="shared" si="4"/>
        <v>47791</v>
      </c>
      <c r="B134" s="117">
        <f>IF('CALCULADORA TIPS Pesos N-20'!$F$10="Contractual",ROUND('Tabla de Amortizacion'!B135,8),IF('CALCULADORA TIPS Pesos N-20'!$F$10="6% (Medio)",ROUND('Tabla de Amortizacion'!E135,8),IF('CALCULADORA TIPS Pesos N-20'!$F$10="10% (Medio Alto)",ROUND('Tabla de Amortizacion'!H135,8),IF('CALCULADORA TIPS Pesos N-20'!$F$10="14% (Alto)",ROUND('Tabla de Amortizacion'!K135,8),IF('CALCULADORA TIPS Pesos N-20'!$F$10=20%,ROUND('Tabla de Amortizacion'!N135,8),ROUND('Tabla de Amortizacion'!Q135,8))))))</f>
        <v>0</v>
      </c>
      <c r="C134" s="117">
        <f>IF('CALCULADORA TIPS Pesos N-20'!$F$10="Contractual",ROUND('Tabla de Amortizacion'!C135,8),IF('CALCULADORA TIPS Pesos N-20'!$F$10="6% (Medio)",ROUND('Tabla de Amortizacion'!F135,8),IF('CALCULADORA TIPS Pesos N-20'!$F$10="10% (Medio Alto)",ROUND('Tabla de Amortizacion'!I135,8),IF('CALCULADORA TIPS Pesos N-20'!$F$10="14% (Alto)",ROUND('Tabla de Amortizacion'!L135,8),IF('CALCULADORA TIPS Pesos N-20'!$F$10=20%,ROUND('Tabla de Amortizacion'!O135,8),ROUND('Tabla de Amortizacion'!R135,8))))))</f>
        <v>0</v>
      </c>
    </row>
    <row r="135" spans="1:3" ht="12.75">
      <c r="A135" s="116">
        <f t="shared" si="4"/>
        <v>47821</v>
      </c>
      <c r="B135" s="117">
        <f>IF('CALCULADORA TIPS Pesos N-20'!$F$10="Contractual",ROUND('Tabla de Amortizacion'!B136,8),IF('CALCULADORA TIPS Pesos N-20'!$F$10="6% (Medio)",ROUND('Tabla de Amortizacion'!E136,8),IF('CALCULADORA TIPS Pesos N-20'!$F$10="10% (Medio Alto)",ROUND('Tabla de Amortizacion'!H136,8),IF('CALCULADORA TIPS Pesos N-20'!$F$10="14% (Alto)",ROUND('Tabla de Amortizacion'!K136,8),IF('CALCULADORA TIPS Pesos N-20'!$F$10=20%,ROUND('Tabla de Amortizacion'!N136,8),ROUND('Tabla de Amortizacion'!Q136,8))))))</f>
        <v>0</v>
      </c>
      <c r="C135" s="117">
        <f>IF('CALCULADORA TIPS Pesos N-20'!$F$10="Contractual",ROUND('Tabla de Amortizacion'!C136,8),IF('CALCULADORA TIPS Pesos N-20'!$F$10="6% (Medio)",ROUND('Tabla de Amortizacion'!F136,8),IF('CALCULADORA TIPS Pesos N-20'!$F$10="10% (Medio Alto)",ROUND('Tabla de Amortizacion'!I136,8),IF('CALCULADORA TIPS Pesos N-20'!$F$10="14% (Alto)",ROUND('Tabla de Amortizacion'!L136,8),IF('CALCULADORA TIPS Pesos N-20'!$F$10=20%,ROUND('Tabla de Amortizacion'!O136,8),ROUND('Tabla de Amortizacion'!R136,8))))))</f>
        <v>0</v>
      </c>
    </row>
    <row r="136" spans="1:3" ht="12.75">
      <c r="A136" s="116">
        <f t="shared" si="4"/>
        <v>47852</v>
      </c>
      <c r="B136" s="117">
        <f>IF('CALCULADORA TIPS Pesos N-20'!$F$10="Contractual",ROUND('Tabla de Amortizacion'!B137,8),IF('CALCULADORA TIPS Pesos N-20'!$F$10="6% (Medio)",ROUND('Tabla de Amortizacion'!E137,8),IF('CALCULADORA TIPS Pesos N-20'!$F$10="10% (Medio Alto)",ROUND('Tabla de Amortizacion'!H137,8),IF('CALCULADORA TIPS Pesos N-20'!$F$10="14% (Alto)",ROUND('Tabla de Amortizacion'!K137,8),IF('CALCULADORA TIPS Pesos N-20'!$F$10=20%,ROUND('Tabla de Amortizacion'!N137,8),ROUND('Tabla de Amortizacion'!Q137,8))))))</f>
        <v>0</v>
      </c>
      <c r="C136" s="117">
        <f>IF('CALCULADORA TIPS Pesos N-20'!$F$10="Contractual",ROUND('Tabla de Amortizacion'!C137,8),IF('CALCULADORA TIPS Pesos N-20'!$F$10="6% (Medio)",ROUND('Tabla de Amortizacion'!F137,8),IF('CALCULADORA TIPS Pesos N-20'!$F$10="10% (Medio Alto)",ROUND('Tabla de Amortizacion'!I137,8),IF('CALCULADORA TIPS Pesos N-20'!$F$10="14% (Alto)",ROUND('Tabla de Amortizacion'!L137,8),IF('CALCULADORA TIPS Pesos N-20'!$F$10=20%,ROUND('Tabla de Amortizacion'!O137,8),ROUND('Tabla de Amortizacion'!R137,8))))))</f>
        <v>0</v>
      </c>
    </row>
    <row r="137" spans="1:3" ht="12.75">
      <c r="A137" s="116">
        <f t="shared" si="4"/>
        <v>47883</v>
      </c>
      <c r="B137" s="117">
        <f>IF('CALCULADORA TIPS Pesos N-20'!$F$10="Contractual",ROUND('Tabla de Amortizacion'!B138,8),IF('CALCULADORA TIPS Pesos N-20'!$F$10="6% (Medio)",ROUND('Tabla de Amortizacion'!E138,8),IF('CALCULADORA TIPS Pesos N-20'!$F$10="10% (Medio Alto)",ROUND('Tabla de Amortizacion'!H138,8),IF('CALCULADORA TIPS Pesos N-20'!$F$10="14% (Alto)",ROUND('Tabla de Amortizacion'!K138,8),IF('CALCULADORA TIPS Pesos N-20'!$F$10=20%,ROUND('Tabla de Amortizacion'!N138,8),ROUND('Tabla de Amortizacion'!Q138,8))))))</f>
        <v>0</v>
      </c>
      <c r="C137" s="117">
        <f>IF('CALCULADORA TIPS Pesos N-20'!$F$10="Contractual",ROUND('Tabla de Amortizacion'!C138,8),IF('CALCULADORA TIPS Pesos N-20'!$F$10="6% (Medio)",ROUND('Tabla de Amortizacion'!F138,8),IF('CALCULADORA TIPS Pesos N-20'!$F$10="10% (Medio Alto)",ROUND('Tabla de Amortizacion'!I138,8),IF('CALCULADORA TIPS Pesos N-20'!$F$10="14% (Alto)",ROUND('Tabla de Amortizacion'!L138,8),IF('CALCULADORA TIPS Pesos N-20'!$F$10=20%,ROUND('Tabla de Amortizacion'!O138,8),ROUND('Tabla de Amortizacion'!R138,8))))))</f>
        <v>0</v>
      </c>
    </row>
    <row r="138" spans="1:3" ht="12.75">
      <c r="A138" s="116">
        <f t="shared" si="4"/>
        <v>47911</v>
      </c>
      <c r="B138" s="117">
        <f>IF('CALCULADORA TIPS Pesos N-20'!$F$10="Contractual",ROUND('Tabla de Amortizacion'!B139,8),IF('CALCULADORA TIPS Pesos N-20'!$F$10="6% (Medio)",ROUND('Tabla de Amortizacion'!E139,8),IF('CALCULADORA TIPS Pesos N-20'!$F$10="10% (Medio Alto)",ROUND('Tabla de Amortizacion'!H139,8),IF('CALCULADORA TIPS Pesos N-20'!$F$10="14% (Alto)",ROUND('Tabla de Amortizacion'!K139,8),IF('CALCULADORA TIPS Pesos N-20'!$F$10=20%,ROUND('Tabla de Amortizacion'!N139,8),ROUND('Tabla de Amortizacion'!Q139,8))))))</f>
        <v>0</v>
      </c>
      <c r="C138" s="117">
        <f>IF('CALCULADORA TIPS Pesos N-20'!$F$10="Contractual",ROUND('Tabla de Amortizacion'!C139,8),IF('CALCULADORA TIPS Pesos N-20'!$F$10="6% (Medio)",ROUND('Tabla de Amortizacion'!F139,8),IF('CALCULADORA TIPS Pesos N-20'!$F$10="10% (Medio Alto)",ROUND('Tabla de Amortizacion'!I139,8),IF('CALCULADORA TIPS Pesos N-20'!$F$10="14% (Alto)",ROUND('Tabla de Amortizacion'!L139,8),IF('CALCULADORA TIPS Pesos N-20'!$F$10=20%,ROUND('Tabla de Amortizacion'!O139,8),ROUND('Tabla de Amortizacion'!R139,8))))))</f>
        <v>0</v>
      </c>
    </row>
    <row r="139" spans="1:3" ht="12.75">
      <c r="A139" s="116">
        <f t="shared" si="4"/>
        <v>47942</v>
      </c>
      <c r="B139" s="117">
        <f>IF('CALCULADORA TIPS Pesos N-20'!$F$10="Contractual",ROUND('Tabla de Amortizacion'!B140,8),IF('CALCULADORA TIPS Pesos N-20'!$F$10="6% (Medio)",ROUND('Tabla de Amortizacion'!E140,8),IF('CALCULADORA TIPS Pesos N-20'!$F$10="10% (Medio Alto)",ROUND('Tabla de Amortizacion'!H140,8),IF('CALCULADORA TIPS Pesos N-20'!$F$10="14% (Alto)",ROUND('Tabla de Amortizacion'!K140,8),IF('CALCULADORA TIPS Pesos N-20'!$F$10=20%,ROUND('Tabla de Amortizacion'!N140,8),ROUND('Tabla de Amortizacion'!Q140,8))))))</f>
        <v>0</v>
      </c>
      <c r="C139" s="117">
        <f>IF('CALCULADORA TIPS Pesos N-20'!$F$10="Contractual",ROUND('Tabla de Amortizacion'!C140,8),IF('CALCULADORA TIPS Pesos N-20'!$F$10="6% (Medio)",ROUND('Tabla de Amortizacion'!F140,8),IF('CALCULADORA TIPS Pesos N-20'!$F$10="10% (Medio Alto)",ROUND('Tabla de Amortizacion'!I140,8),IF('CALCULADORA TIPS Pesos N-20'!$F$10="14% (Alto)",ROUND('Tabla de Amortizacion'!L140,8),IF('CALCULADORA TIPS Pesos N-20'!$F$10=20%,ROUND('Tabla de Amortizacion'!O140,8),ROUND('Tabla de Amortizacion'!R140,8))))))</f>
        <v>0</v>
      </c>
    </row>
    <row r="140" spans="1:3" ht="12.75">
      <c r="A140" s="116">
        <f t="shared" si="4"/>
        <v>47972</v>
      </c>
      <c r="B140" s="117">
        <f>IF('CALCULADORA TIPS Pesos N-20'!$F$10="Contractual",ROUND('Tabla de Amortizacion'!B141,8),IF('CALCULADORA TIPS Pesos N-20'!$F$10="6% (Medio)",ROUND('Tabla de Amortizacion'!E141,8),IF('CALCULADORA TIPS Pesos N-20'!$F$10="10% (Medio Alto)",ROUND('Tabla de Amortizacion'!H141,8),IF('CALCULADORA TIPS Pesos N-20'!$F$10="14% (Alto)",ROUND('Tabla de Amortizacion'!K141,8),IF('CALCULADORA TIPS Pesos N-20'!$F$10=20%,ROUND('Tabla de Amortizacion'!N141,8),ROUND('Tabla de Amortizacion'!Q141,8))))))</f>
        <v>0</v>
      </c>
      <c r="C140" s="117">
        <f>IF('CALCULADORA TIPS Pesos N-20'!$F$10="Contractual",ROUND('Tabla de Amortizacion'!C141,8),IF('CALCULADORA TIPS Pesos N-20'!$F$10="6% (Medio)",ROUND('Tabla de Amortizacion'!F141,8),IF('CALCULADORA TIPS Pesos N-20'!$F$10="10% (Medio Alto)",ROUND('Tabla de Amortizacion'!I141,8),IF('CALCULADORA TIPS Pesos N-20'!$F$10="14% (Alto)",ROUND('Tabla de Amortizacion'!L141,8),IF('CALCULADORA TIPS Pesos N-20'!$F$10=20%,ROUND('Tabla de Amortizacion'!O141,8),ROUND('Tabla de Amortizacion'!R141,8))))))</f>
        <v>0</v>
      </c>
    </row>
    <row r="141" spans="1:3" ht="12.75">
      <c r="A141" s="116">
        <f t="shared" si="4"/>
        <v>48003</v>
      </c>
      <c r="B141" s="117">
        <f>IF('CALCULADORA TIPS Pesos N-20'!$F$10="Contractual",ROUND('Tabla de Amortizacion'!B142,8),IF('CALCULADORA TIPS Pesos N-20'!$F$10="6% (Medio)",ROUND('Tabla de Amortizacion'!E142,8),IF('CALCULADORA TIPS Pesos N-20'!$F$10="10% (Medio Alto)",ROUND('Tabla de Amortizacion'!H142,8),IF('CALCULADORA TIPS Pesos N-20'!$F$10="14% (Alto)",ROUND('Tabla de Amortizacion'!K142,8),IF('CALCULADORA TIPS Pesos N-20'!$F$10=20%,ROUND('Tabla de Amortizacion'!N142,8),ROUND('Tabla de Amortizacion'!Q142,8))))))</f>
        <v>0</v>
      </c>
      <c r="C141" s="117">
        <f>IF('CALCULADORA TIPS Pesos N-20'!$F$10="Contractual",ROUND('Tabla de Amortizacion'!C142,8),IF('CALCULADORA TIPS Pesos N-20'!$F$10="6% (Medio)",ROUND('Tabla de Amortizacion'!F142,8),IF('CALCULADORA TIPS Pesos N-20'!$F$10="10% (Medio Alto)",ROUND('Tabla de Amortizacion'!I142,8),IF('CALCULADORA TIPS Pesos N-20'!$F$10="14% (Alto)",ROUND('Tabla de Amortizacion'!L142,8),IF('CALCULADORA TIPS Pesos N-20'!$F$10=20%,ROUND('Tabla de Amortizacion'!O142,8),ROUND('Tabla de Amortizacion'!R142,8))))))</f>
        <v>0</v>
      </c>
    </row>
    <row r="142" spans="1:3" ht="12.75">
      <c r="A142" s="116">
        <f t="shared" si="4"/>
        <v>48033</v>
      </c>
      <c r="B142" s="117">
        <f>IF('CALCULADORA TIPS Pesos N-20'!$F$10="Contractual",ROUND('Tabla de Amortizacion'!B143,8),IF('CALCULADORA TIPS Pesos N-20'!$F$10="6% (Medio)",ROUND('Tabla de Amortizacion'!E143,8),IF('CALCULADORA TIPS Pesos N-20'!$F$10="10% (Medio Alto)",ROUND('Tabla de Amortizacion'!H143,8),IF('CALCULADORA TIPS Pesos N-20'!$F$10="14% (Alto)",ROUND('Tabla de Amortizacion'!K143,8),IF('CALCULADORA TIPS Pesos N-20'!$F$10=20%,ROUND('Tabla de Amortizacion'!N143,8),ROUND('Tabla de Amortizacion'!Q143,8))))))</f>
        <v>0</v>
      </c>
      <c r="C142" s="117">
        <f>IF('CALCULADORA TIPS Pesos N-20'!$F$10="Contractual",ROUND('Tabla de Amortizacion'!C143,8),IF('CALCULADORA TIPS Pesos N-20'!$F$10="6% (Medio)",ROUND('Tabla de Amortizacion'!F143,8),IF('CALCULADORA TIPS Pesos N-20'!$F$10="10% (Medio Alto)",ROUND('Tabla de Amortizacion'!I143,8),IF('CALCULADORA TIPS Pesos N-20'!$F$10="14% (Alto)",ROUND('Tabla de Amortizacion'!L143,8),IF('CALCULADORA TIPS Pesos N-20'!$F$10=20%,ROUND('Tabla de Amortizacion'!O143,8),ROUND('Tabla de Amortizacion'!R143,8))))))</f>
        <v>0</v>
      </c>
    </row>
    <row r="143" spans="1:3" ht="12.75">
      <c r="A143" s="116">
        <f t="shared" si="4"/>
        <v>48064</v>
      </c>
      <c r="B143" s="117">
        <f>IF('CALCULADORA TIPS Pesos N-20'!$F$10="Contractual",ROUND('Tabla de Amortizacion'!B144,8),IF('CALCULADORA TIPS Pesos N-20'!$F$10="6% (Medio)",ROUND('Tabla de Amortizacion'!E144,8),IF('CALCULADORA TIPS Pesos N-20'!$F$10="10% (Medio Alto)",ROUND('Tabla de Amortizacion'!H144,8),IF('CALCULADORA TIPS Pesos N-20'!$F$10="14% (Alto)",ROUND('Tabla de Amortizacion'!K144,8),IF('CALCULADORA TIPS Pesos N-20'!$F$10=20%,ROUND('Tabla de Amortizacion'!N144,8),ROUND('Tabla de Amortizacion'!Q144,8))))))</f>
        <v>0</v>
      </c>
      <c r="C143" s="117">
        <f>IF('CALCULADORA TIPS Pesos N-20'!$F$10="Contractual",ROUND('Tabla de Amortizacion'!C144,8),IF('CALCULADORA TIPS Pesos N-20'!$F$10="6% (Medio)",ROUND('Tabla de Amortizacion'!F144,8),IF('CALCULADORA TIPS Pesos N-20'!$F$10="10% (Medio Alto)",ROUND('Tabla de Amortizacion'!I144,8),IF('CALCULADORA TIPS Pesos N-20'!$F$10="14% (Alto)",ROUND('Tabla de Amortizacion'!L144,8),IF('CALCULADORA TIPS Pesos N-20'!$F$10=20%,ROUND('Tabla de Amortizacion'!O144,8),ROUND('Tabla de Amortizacion'!R144,8))))))</f>
        <v>0</v>
      </c>
    </row>
    <row r="144" spans="1:3" ht="12.75">
      <c r="A144" s="116">
        <f t="shared" si="4"/>
        <v>48095</v>
      </c>
      <c r="B144" s="117">
        <f>IF('CALCULADORA TIPS Pesos N-20'!$F$10="Contractual",ROUND('Tabla de Amortizacion'!B145,8),IF('CALCULADORA TIPS Pesos N-20'!$F$10="6% (Medio)",ROUND('Tabla de Amortizacion'!E145,8),IF('CALCULADORA TIPS Pesos N-20'!$F$10="10% (Medio Alto)",ROUND('Tabla de Amortizacion'!H145,8),IF('CALCULADORA TIPS Pesos N-20'!$F$10="14% (Alto)",ROUND('Tabla de Amortizacion'!K145,8),IF('CALCULADORA TIPS Pesos N-20'!$F$10=20%,ROUND('Tabla de Amortizacion'!N145,8),ROUND('Tabla de Amortizacion'!Q145,8))))))</f>
        <v>0</v>
      </c>
      <c r="C144" s="117">
        <f>IF('CALCULADORA TIPS Pesos N-20'!$F$10="Contractual",ROUND('Tabla de Amortizacion'!C145,8),IF('CALCULADORA TIPS Pesos N-20'!$F$10="6% (Medio)",ROUND('Tabla de Amortizacion'!F145,8),IF('CALCULADORA TIPS Pesos N-20'!$F$10="10% (Medio Alto)",ROUND('Tabla de Amortizacion'!I145,8),IF('CALCULADORA TIPS Pesos N-20'!$F$10="14% (Alto)",ROUND('Tabla de Amortizacion'!L145,8),IF('CALCULADORA TIPS Pesos N-20'!$F$10=20%,ROUND('Tabla de Amortizacion'!O145,8),ROUND('Tabla de Amortizacion'!R145,8))))))</f>
        <v>0</v>
      </c>
    </row>
    <row r="145" spans="1:3" ht="12.75">
      <c r="A145" s="116">
        <f t="shared" si="4"/>
        <v>48125</v>
      </c>
      <c r="B145" s="117">
        <f>IF('CALCULADORA TIPS Pesos N-20'!$F$10="Contractual",ROUND('Tabla de Amortizacion'!B146,8),IF('CALCULADORA TIPS Pesos N-20'!$F$10="6% (Medio)",ROUND('Tabla de Amortizacion'!E146,8),IF('CALCULADORA TIPS Pesos N-20'!$F$10="10% (Medio Alto)",ROUND('Tabla de Amortizacion'!H146,8),IF('CALCULADORA TIPS Pesos N-20'!$F$10="14% (Alto)",ROUND('Tabla de Amortizacion'!K146,8),IF('CALCULADORA TIPS Pesos N-20'!$F$10=20%,ROUND('Tabla de Amortizacion'!N146,8),ROUND('Tabla de Amortizacion'!Q146,8))))))</f>
        <v>0</v>
      </c>
      <c r="C145" s="117">
        <f>IF('CALCULADORA TIPS Pesos N-20'!$F$10="Contractual",ROUND('Tabla de Amortizacion'!C146,8),IF('CALCULADORA TIPS Pesos N-20'!$F$10="6% (Medio)",ROUND('Tabla de Amortizacion'!F146,8),IF('CALCULADORA TIPS Pesos N-20'!$F$10="10% (Medio Alto)",ROUND('Tabla de Amortizacion'!I146,8),IF('CALCULADORA TIPS Pesos N-20'!$F$10="14% (Alto)",ROUND('Tabla de Amortizacion'!L146,8),IF('CALCULADORA TIPS Pesos N-20'!$F$10=20%,ROUND('Tabla de Amortizacion'!O146,8),ROUND('Tabla de Amortizacion'!R146,8))))))</f>
        <v>0</v>
      </c>
    </row>
    <row r="146" spans="1:3" ht="12.75">
      <c r="A146" s="116">
        <f t="shared" si="4"/>
        <v>48156</v>
      </c>
      <c r="B146" s="117">
        <f>IF('CALCULADORA TIPS Pesos N-20'!$F$10="Contractual",ROUND('Tabla de Amortizacion'!B147,8),IF('CALCULADORA TIPS Pesos N-20'!$F$10="6% (Medio)",ROUND('Tabla de Amortizacion'!E147,8),IF('CALCULADORA TIPS Pesos N-20'!$F$10="10% (Medio Alto)",ROUND('Tabla de Amortizacion'!H147,8),IF('CALCULADORA TIPS Pesos N-20'!$F$10="14% (Alto)",ROUND('Tabla de Amortizacion'!K147,8),IF('CALCULADORA TIPS Pesos N-20'!$F$10=20%,ROUND('Tabla de Amortizacion'!N147,8),ROUND('Tabla de Amortizacion'!Q147,8))))))</f>
        <v>0</v>
      </c>
      <c r="C146" s="117">
        <f>IF('CALCULADORA TIPS Pesos N-20'!$F$10="Contractual",ROUND('Tabla de Amortizacion'!C147,8),IF('CALCULADORA TIPS Pesos N-20'!$F$10="6% (Medio)",ROUND('Tabla de Amortizacion'!F147,8),IF('CALCULADORA TIPS Pesos N-20'!$F$10="10% (Medio Alto)",ROUND('Tabla de Amortizacion'!I147,8),IF('CALCULADORA TIPS Pesos N-20'!$F$10="14% (Alto)",ROUND('Tabla de Amortizacion'!L147,8),IF('CALCULADORA TIPS Pesos N-20'!$F$10=20%,ROUND('Tabla de Amortizacion'!O147,8),ROUND('Tabla de Amortizacion'!R147,8))))))</f>
        <v>0</v>
      </c>
    </row>
    <row r="147" spans="1:3" ht="12.75">
      <c r="A147" s="116">
        <f t="shared" si="4"/>
        <v>48186</v>
      </c>
      <c r="B147" s="117">
        <f>IF('CALCULADORA TIPS Pesos N-20'!$F$10="Contractual",ROUND('Tabla de Amortizacion'!B148,8),IF('CALCULADORA TIPS Pesos N-20'!$F$10="6% (Medio)",ROUND('Tabla de Amortizacion'!E148,8),IF('CALCULADORA TIPS Pesos N-20'!$F$10="10% (Medio Alto)",ROUND('Tabla de Amortizacion'!H148,8),IF('CALCULADORA TIPS Pesos N-20'!$F$10="14% (Alto)",ROUND('Tabla de Amortizacion'!K148,8),IF('CALCULADORA TIPS Pesos N-20'!$F$10=20%,ROUND('Tabla de Amortizacion'!N148,8),ROUND('Tabla de Amortizacion'!Q148,8))))))</f>
        <v>0</v>
      </c>
      <c r="C147" s="117">
        <f>IF('CALCULADORA TIPS Pesos N-20'!$F$10="Contractual",ROUND('Tabla de Amortizacion'!C148,8),IF('CALCULADORA TIPS Pesos N-20'!$F$10="6% (Medio)",ROUND('Tabla de Amortizacion'!F148,8),IF('CALCULADORA TIPS Pesos N-20'!$F$10="10% (Medio Alto)",ROUND('Tabla de Amortizacion'!I148,8),IF('CALCULADORA TIPS Pesos N-20'!$F$10="14% (Alto)",ROUND('Tabla de Amortizacion'!L148,8),IF('CALCULADORA TIPS Pesos N-20'!$F$10=20%,ROUND('Tabla de Amortizacion'!O148,8),ROUND('Tabla de Amortizacion'!R148,8))))))</f>
        <v>0</v>
      </c>
    </row>
    <row r="148" spans="1:3" ht="12.75">
      <c r="A148" s="116">
        <f t="shared" si="4"/>
        <v>48217</v>
      </c>
      <c r="B148" s="117">
        <f>IF('CALCULADORA TIPS Pesos N-20'!$F$10="Contractual",ROUND('Tabla de Amortizacion'!B149,8),IF('CALCULADORA TIPS Pesos N-20'!$F$10="6% (Medio)",ROUND('Tabla de Amortizacion'!E149,8),IF('CALCULADORA TIPS Pesos N-20'!$F$10="10% (Medio Alto)",ROUND('Tabla de Amortizacion'!H149,8),IF('CALCULADORA TIPS Pesos N-20'!$F$10="14% (Alto)",ROUND('Tabla de Amortizacion'!K149,8),IF('CALCULADORA TIPS Pesos N-20'!$F$10=20%,ROUND('Tabla de Amortizacion'!N149,8),ROUND('Tabla de Amortizacion'!Q149,8))))))</f>
        <v>0</v>
      </c>
      <c r="C148" s="117">
        <f>IF('CALCULADORA TIPS Pesos N-20'!$F$10="Contractual",ROUND('Tabla de Amortizacion'!C149,8),IF('CALCULADORA TIPS Pesos N-20'!$F$10="6% (Medio)",ROUND('Tabla de Amortizacion'!F149,8),IF('CALCULADORA TIPS Pesos N-20'!$F$10="10% (Medio Alto)",ROUND('Tabla de Amortizacion'!I149,8),IF('CALCULADORA TIPS Pesos N-20'!$F$10="14% (Alto)",ROUND('Tabla de Amortizacion'!L149,8),IF('CALCULADORA TIPS Pesos N-20'!$F$10=20%,ROUND('Tabla de Amortizacion'!O149,8),ROUND('Tabla de Amortizacion'!R149,8))))))</f>
        <v>0</v>
      </c>
    </row>
    <row r="149" spans="1:3" ht="12.75">
      <c r="A149" s="116">
        <f t="shared" si="4"/>
        <v>48248</v>
      </c>
      <c r="B149" s="117">
        <f>IF('CALCULADORA TIPS Pesos N-20'!$F$10="Contractual",ROUND('Tabla de Amortizacion'!B150,8),IF('CALCULADORA TIPS Pesos N-20'!$F$10="6% (Medio)",ROUND('Tabla de Amortizacion'!E150,8),IF('CALCULADORA TIPS Pesos N-20'!$F$10="10% (Medio Alto)",ROUND('Tabla de Amortizacion'!H150,8),IF('CALCULADORA TIPS Pesos N-20'!$F$10="14% (Alto)",ROUND('Tabla de Amortizacion'!K150,8),IF('CALCULADORA TIPS Pesos N-20'!$F$10=20%,ROUND('Tabla de Amortizacion'!N150,8),ROUND('Tabla de Amortizacion'!Q150,8))))))</f>
        <v>0</v>
      </c>
      <c r="C149" s="117">
        <f>IF('CALCULADORA TIPS Pesos N-20'!$F$10="Contractual",ROUND('Tabla de Amortizacion'!C150,8),IF('CALCULADORA TIPS Pesos N-20'!$F$10="6% (Medio)",ROUND('Tabla de Amortizacion'!F150,8),IF('CALCULADORA TIPS Pesos N-20'!$F$10="10% (Medio Alto)",ROUND('Tabla de Amortizacion'!I150,8),IF('CALCULADORA TIPS Pesos N-20'!$F$10="14% (Alto)",ROUND('Tabla de Amortizacion'!L150,8),IF('CALCULADORA TIPS Pesos N-20'!$F$10=20%,ROUND('Tabla de Amortizacion'!O150,8),ROUND('Tabla de Amortizacion'!R150,8))))))</f>
        <v>0</v>
      </c>
    </row>
    <row r="150" spans="1:3" ht="12.75">
      <c r="A150" s="116">
        <f t="shared" si="4"/>
        <v>48277</v>
      </c>
      <c r="B150" s="117">
        <f>IF('CALCULADORA TIPS Pesos N-20'!$F$10="Contractual",ROUND('Tabla de Amortizacion'!B151,8),IF('CALCULADORA TIPS Pesos N-20'!$F$10="6% (Medio)",ROUND('Tabla de Amortizacion'!E151,8),IF('CALCULADORA TIPS Pesos N-20'!$F$10="10% (Medio Alto)",ROUND('Tabla de Amortizacion'!H151,8),IF('CALCULADORA TIPS Pesos N-20'!$F$10="14% (Alto)",ROUND('Tabla de Amortizacion'!K151,8),IF('CALCULADORA TIPS Pesos N-20'!$F$10=20%,ROUND('Tabla de Amortizacion'!N151,8),ROUND('Tabla de Amortizacion'!Q151,8))))))</f>
        <v>0</v>
      </c>
      <c r="C150" s="117">
        <f>IF('CALCULADORA TIPS Pesos N-20'!$F$10="Contractual",ROUND('Tabla de Amortizacion'!C151,8),IF('CALCULADORA TIPS Pesos N-20'!$F$10="6% (Medio)",ROUND('Tabla de Amortizacion'!F151,8),IF('CALCULADORA TIPS Pesos N-20'!$F$10="10% (Medio Alto)",ROUND('Tabla de Amortizacion'!I151,8),IF('CALCULADORA TIPS Pesos N-20'!$F$10="14% (Alto)",ROUND('Tabla de Amortizacion'!L151,8),IF('CALCULADORA TIPS Pesos N-20'!$F$10=20%,ROUND('Tabla de Amortizacion'!O151,8),ROUND('Tabla de Amortizacion'!R151,8))))))</f>
        <v>0</v>
      </c>
    </row>
    <row r="151" spans="1:3" ht="12.75">
      <c r="A151" s="116">
        <f t="shared" si="4"/>
        <v>48308</v>
      </c>
      <c r="B151" s="117">
        <f>IF('CALCULADORA TIPS Pesos N-20'!$F$10="Contractual",ROUND('Tabla de Amortizacion'!B152,8),IF('CALCULADORA TIPS Pesos N-20'!$F$10="6% (Medio)",ROUND('Tabla de Amortizacion'!E152,8),IF('CALCULADORA TIPS Pesos N-20'!$F$10="10% (Medio Alto)",ROUND('Tabla de Amortizacion'!H152,8),IF('CALCULADORA TIPS Pesos N-20'!$F$10="14% (Alto)",ROUND('Tabla de Amortizacion'!K152,8),IF('CALCULADORA TIPS Pesos N-20'!$F$10=20%,ROUND('Tabla de Amortizacion'!N152,8),ROUND('Tabla de Amortizacion'!Q152,8))))))</f>
        <v>0</v>
      </c>
      <c r="C151" s="117">
        <f>IF('CALCULADORA TIPS Pesos N-20'!$F$10="Contractual",ROUND('Tabla de Amortizacion'!C152,8),IF('CALCULADORA TIPS Pesos N-20'!$F$10="6% (Medio)",ROUND('Tabla de Amortizacion'!F152,8),IF('CALCULADORA TIPS Pesos N-20'!$F$10="10% (Medio Alto)",ROUND('Tabla de Amortizacion'!I152,8),IF('CALCULADORA TIPS Pesos N-20'!$F$10="14% (Alto)",ROUND('Tabla de Amortizacion'!L152,8),IF('CALCULADORA TIPS Pesos N-20'!$F$10=20%,ROUND('Tabla de Amortizacion'!O152,8),ROUND('Tabla de Amortizacion'!R152,8))))))</f>
        <v>0</v>
      </c>
    </row>
    <row r="152" spans="1:3" ht="12.75">
      <c r="A152" s="116">
        <f t="shared" si="4"/>
        <v>48338</v>
      </c>
      <c r="B152" s="117">
        <f>IF('CALCULADORA TIPS Pesos N-20'!$F$10="Contractual",ROUND('Tabla de Amortizacion'!B153,8),IF('CALCULADORA TIPS Pesos N-20'!$F$10="6% (Medio)",ROUND('Tabla de Amortizacion'!E153,8),IF('CALCULADORA TIPS Pesos N-20'!$F$10="10% (Medio Alto)",ROUND('Tabla de Amortizacion'!H153,8),IF('CALCULADORA TIPS Pesos N-20'!$F$10="14% (Alto)",ROUND('Tabla de Amortizacion'!K153,8),IF('CALCULADORA TIPS Pesos N-20'!$F$10=20%,ROUND('Tabla de Amortizacion'!N153,8),ROUND('Tabla de Amortizacion'!Q153,8))))))</f>
        <v>0</v>
      </c>
      <c r="C152" s="117">
        <f>IF('CALCULADORA TIPS Pesos N-20'!$F$10="Contractual",ROUND('Tabla de Amortizacion'!C153,8),IF('CALCULADORA TIPS Pesos N-20'!$F$10="6% (Medio)",ROUND('Tabla de Amortizacion'!F153,8),IF('CALCULADORA TIPS Pesos N-20'!$F$10="10% (Medio Alto)",ROUND('Tabla de Amortizacion'!I153,8),IF('CALCULADORA TIPS Pesos N-20'!$F$10="14% (Alto)",ROUND('Tabla de Amortizacion'!L153,8),IF('CALCULADORA TIPS Pesos N-20'!$F$10=20%,ROUND('Tabla de Amortizacion'!O153,8),ROUND('Tabla de Amortizacion'!R153,8))))))</f>
        <v>0</v>
      </c>
    </row>
    <row r="153" spans="1:3" ht="12.75">
      <c r="A153" s="116">
        <f t="shared" si="4"/>
        <v>48369</v>
      </c>
      <c r="B153" s="117">
        <f>IF('CALCULADORA TIPS Pesos N-20'!$F$10="Contractual",ROUND('Tabla de Amortizacion'!B154,8),IF('CALCULADORA TIPS Pesos N-20'!$F$10="6% (Medio)",ROUND('Tabla de Amortizacion'!E154,8),IF('CALCULADORA TIPS Pesos N-20'!$F$10="10% (Medio Alto)",ROUND('Tabla de Amortizacion'!H154,8),IF('CALCULADORA TIPS Pesos N-20'!$F$10="14% (Alto)",ROUND('Tabla de Amortizacion'!K154,8),IF('CALCULADORA TIPS Pesos N-20'!$F$10=20%,ROUND('Tabla de Amortizacion'!N154,8),ROUND('Tabla de Amortizacion'!Q154,8))))))</f>
        <v>0</v>
      </c>
      <c r="C153" s="117">
        <f>IF('CALCULADORA TIPS Pesos N-20'!$F$10="Contractual",ROUND('Tabla de Amortizacion'!C154,8),IF('CALCULADORA TIPS Pesos N-20'!$F$10="6% (Medio)",ROUND('Tabla de Amortizacion'!F154,8),IF('CALCULADORA TIPS Pesos N-20'!$F$10="10% (Medio Alto)",ROUND('Tabla de Amortizacion'!I154,8),IF('CALCULADORA TIPS Pesos N-20'!$F$10="14% (Alto)",ROUND('Tabla de Amortizacion'!L154,8),IF('CALCULADORA TIPS Pesos N-20'!$F$10=20%,ROUND('Tabla de Amortizacion'!O154,8),ROUND('Tabla de Amortizacion'!R154,8))))))</f>
        <v>0</v>
      </c>
    </row>
    <row r="154" spans="1:3" ht="12.75">
      <c r="A154" s="116">
        <f t="shared" si="4"/>
        <v>48399</v>
      </c>
      <c r="B154" s="117">
        <f>IF('CALCULADORA TIPS Pesos N-20'!$F$10="Contractual",ROUND('Tabla de Amortizacion'!B155,8),IF('CALCULADORA TIPS Pesos N-20'!$F$10="6% (Medio)",ROUND('Tabla de Amortizacion'!E155,8),IF('CALCULADORA TIPS Pesos N-20'!$F$10="10% (Medio Alto)",ROUND('Tabla de Amortizacion'!H155,8),IF('CALCULADORA TIPS Pesos N-20'!$F$10="14% (Alto)",ROUND('Tabla de Amortizacion'!K155,8),IF('CALCULADORA TIPS Pesos N-20'!$F$10=20%,ROUND('Tabla de Amortizacion'!N155,8),ROUND('Tabla de Amortizacion'!Q155,8))))))</f>
        <v>0</v>
      </c>
      <c r="C154" s="117">
        <f>IF('CALCULADORA TIPS Pesos N-20'!$F$10="Contractual",ROUND('Tabla de Amortizacion'!C155,8),IF('CALCULADORA TIPS Pesos N-20'!$F$10="6% (Medio)",ROUND('Tabla de Amortizacion'!F155,8),IF('CALCULADORA TIPS Pesos N-20'!$F$10="10% (Medio Alto)",ROUND('Tabla de Amortizacion'!I155,8),IF('CALCULADORA TIPS Pesos N-20'!$F$10="14% (Alto)",ROUND('Tabla de Amortizacion'!L155,8),IF('CALCULADORA TIPS Pesos N-20'!$F$10=20%,ROUND('Tabla de Amortizacion'!O155,8),ROUND('Tabla de Amortizacion'!R155,8))))))</f>
        <v>0</v>
      </c>
    </row>
    <row r="155" spans="1:3" ht="12.75">
      <c r="A155" s="116">
        <f t="shared" si="4"/>
        <v>48430</v>
      </c>
      <c r="B155" s="117">
        <f>IF('CALCULADORA TIPS Pesos N-20'!$F$10="Contractual",ROUND('Tabla de Amortizacion'!B156,8),IF('CALCULADORA TIPS Pesos N-20'!$F$10="6% (Medio)",ROUND('Tabla de Amortizacion'!E156,8),IF('CALCULADORA TIPS Pesos N-20'!$F$10="10% (Medio Alto)",ROUND('Tabla de Amortizacion'!H156,8),IF('CALCULADORA TIPS Pesos N-20'!$F$10="14% (Alto)",ROUND('Tabla de Amortizacion'!K156,8),IF('CALCULADORA TIPS Pesos N-20'!$F$10=20%,ROUND('Tabla de Amortizacion'!N156,8),ROUND('Tabla de Amortizacion'!Q156,8))))))</f>
        <v>0</v>
      </c>
      <c r="C155" s="117">
        <f>IF('CALCULADORA TIPS Pesos N-20'!$F$10="Contractual",ROUND('Tabla de Amortizacion'!C156,8),IF('CALCULADORA TIPS Pesos N-20'!$F$10="6% (Medio)",ROUND('Tabla de Amortizacion'!F156,8),IF('CALCULADORA TIPS Pesos N-20'!$F$10="10% (Medio Alto)",ROUND('Tabla de Amortizacion'!I156,8),IF('CALCULADORA TIPS Pesos N-20'!$F$10="14% (Alto)",ROUND('Tabla de Amortizacion'!L156,8),IF('CALCULADORA TIPS Pesos N-20'!$F$10=20%,ROUND('Tabla de Amortizacion'!O156,8),ROUND('Tabla de Amortizacion'!R156,8))))))</f>
        <v>0</v>
      </c>
    </row>
    <row r="156" spans="1:3" ht="12.75">
      <c r="A156" s="116">
        <f t="shared" si="4"/>
        <v>48461</v>
      </c>
      <c r="B156" s="117">
        <f>IF('CALCULADORA TIPS Pesos N-20'!$F$10="Contractual",ROUND('Tabla de Amortizacion'!B157,8),IF('CALCULADORA TIPS Pesos N-20'!$F$10="6% (Medio)",ROUND('Tabla de Amortizacion'!E157,8),IF('CALCULADORA TIPS Pesos N-20'!$F$10="10% (Medio Alto)",ROUND('Tabla de Amortizacion'!H157,8),IF('CALCULADORA TIPS Pesos N-20'!$F$10="14% (Alto)",ROUND('Tabla de Amortizacion'!K157,8),IF('CALCULADORA TIPS Pesos N-20'!$F$10=20%,ROUND('Tabla de Amortizacion'!N157,8),ROUND('Tabla de Amortizacion'!Q157,8))))))</f>
        <v>0</v>
      </c>
      <c r="C156" s="117">
        <f>IF('CALCULADORA TIPS Pesos N-20'!$F$10="Contractual",ROUND('Tabla de Amortizacion'!C157,8),IF('CALCULADORA TIPS Pesos N-20'!$F$10="6% (Medio)",ROUND('Tabla de Amortizacion'!F157,8),IF('CALCULADORA TIPS Pesos N-20'!$F$10="10% (Medio Alto)",ROUND('Tabla de Amortizacion'!I157,8),IF('CALCULADORA TIPS Pesos N-20'!$F$10="14% (Alto)",ROUND('Tabla de Amortizacion'!L157,8),IF('CALCULADORA TIPS Pesos N-20'!$F$10=20%,ROUND('Tabla de Amortizacion'!O157,8),ROUND('Tabla de Amortizacion'!R157,8))))))</f>
        <v>0</v>
      </c>
    </row>
    <row r="157" spans="1:3" ht="12.75">
      <c r="A157" s="116">
        <f t="shared" si="4"/>
        <v>48491</v>
      </c>
      <c r="B157" s="117">
        <f>IF('CALCULADORA TIPS Pesos N-20'!$F$10="Contractual",ROUND('Tabla de Amortizacion'!B158,8),IF('CALCULADORA TIPS Pesos N-20'!$F$10="6% (Medio)",ROUND('Tabla de Amortizacion'!E158,8),IF('CALCULADORA TIPS Pesos N-20'!$F$10="10% (Medio Alto)",ROUND('Tabla de Amortizacion'!H158,8),IF('CALCULADORA TIPS Pesos N-20'!$F$10="14% (Alto)",ROUND('Tabla de Amortizacion'!K158,8),IF('CALCULADORA TIPS Pesos N-20'!$F$10=20%,ROUND('Tabla de Amortizacion'!N158,8),ROUND('Tabla de Amortizacion'!Q158,8))))))</f>
        <v>0</v>
      </c>
      <c r="C157" s="117">
        <f>IF('CALCULADORA TIPS Pesos N-20'!$F$10="Contractual",ROUND('Tabla de Amortizacion'!C158,8),IF('CALCULADORA TIPS Pesos N-20'!$F$10="6% (Medio)",ROUND('Tabla de Amortizacion'!F158,8),IF('CALCULADORA TIPS Pesos N-20'!$F$10="10% (Medio Alto)",ROUND('Tabla de Amortizacion'!I158,8),IF('CALCULADORA TIPS Pesos N-20'!$F$10="14% (Alto)",ROUND('Tabla de Amortizacion'!L158,8),IF('CALCULADORA TIPS Pesos N-20'!$F$10=20%,ROUND('Tabla de Amortizacion'!O158,8),ROUND('Tabla de Amortizacion'!R158,8))))))</f>
        <v>0</v>
      </c>
    </row>
    <row r="158" spans="1:3" ht="12.75">
      <c r="A158" s="116">
        <f t="shared" si="4"/>
        <v>48522</v>
      </c>
      <c r="B158" s="117">
        <f>IF('CALCULADORA TIPS Pesos N-20'!$F$10="Contractual",ROUND('Tabla de Amortizacion'!B159,8),IF('CALCULADORA TIPS Pesos N-20'!$F$10="6% (Medio)",ROUND('Tabla de Amortizacion'!E159,8),IF('CALCULADORA TIPS Pesos N-20'!$F$10="10% (Medio Alto)",ROUND('Tabla de Amortizacion'!H159,8),IF('CALCULADORA TIPS Pesos N-20'!$F$10="14% (Alto)",ROUND('Tabla de Amortizacion'!K159,8),IF('CALCULADORA TIPS Pesos N-20'!$F$10=20%,ROUND('Tabla de Amortizacion'!N159,8),ROUND('Tabla de Amortizacion'!Q159,8))))))</f>
        <v>0</v>
      </c>
      <c r="C158" s="117">
        <f>IF('CALCULADORA TIPS Pesos N-20'!$F$10="Contractual",ROUND('Tabla de Amortizacion'!C159,8),IF('CALCULADORA TIPS Pesos N-20'!$F$10="6% (Medio)",ROUND('Tabla de Amortizacion'!F159,8),IF('CALCULADORA TIPS Pesos N-20'!$F$10="10% (Medio Alto)",ROUND('Tabla de Amortizacion'!I159,8),IF('CALCULADORA TIPS Pesos N-20'!$F$10="14% (Alto)",ROUND('Tabla de Amortizacion'!L159,8),IF('CALCULADORA TIPS Pesos N-20'!$F$10=20%,ROUND('Tabla de Amortizacion'!O159,8),ROUND('Tabla de Amortizacion'!R159,8))))))</f>
        <v>0</v>
      </c>
    </row>
    <row r="159" spans="1:3" ht="12.75">
      <c r="A159" s="116">
        <f t="shared" si="4"/>
        <v>48552</v>
      </c>
      <c r="B159" s="117">
        <f>IF('CALCULADORA TIPS Pesos N-20'!$F$10="Contractual",ROUND('Tabla de Amortizacion'!B160,8),IF('CALCULADORA TIPS Pesos N-20'!$F$10="6% (Medio)",ROUND('Tabla de Amortizacion'!E160,8),IF('CALCULADORA TIPS Pesos N-20'!$F$10="10% (Medio Alto)",ROUND('Tabla de Amortizacion'!H160,8),IF('CALCULADORA TIPS Pesos N-20'!$F$10="14% (Alto)",ROUND('Tabla de Amortizacion'!K160,8),IF('CALCULADORA TIPS Pesos N-20'!$F$10=20%,ROUND('Tabla de Amortizacion'!N160,8),ROUND('Tabla de Amortizacion'!Q160,8))))))</f>
        <v>0</v>
      </c>
      <c r="C159" s="117">
        <f>IF('CALCULADORA TIPS Pesos N-20'!$F$10="Contractual",ROUND('Tabla de Amortizacion'!C160,8),IF('CALCULADORA TIPS Pesos N-20'!$F$10="6% (Medio)",ROUND('Tabla de Amortizacion'!F160,8),IF('CALCULADORA TIPS Pesos N-20'!$F$10="10% (Medio Alto)",ROUND('Tabla de Amortizacion'!I160,8),IF('CALCULADORA TIPS Pesos N-20'!$F$10="14% (Alto)",ROUND('Tabla de Amortizacion'!L160,8),IF('CALCULADORA TIPS Pesos N-20'!$F$10=20%,ROUND('Tabla de Amortizacion'!O160,8),ROUND('Tabla de Amortizacion'!R160,8))))))</f>
        <v>0</v>
      </c>
    </row>
    <row r="160" spans="1:3" ht="12.75">
      <c r="A160" s="116">
        <f t="shared" si="4"/>
        <v>48583</v>
      </c>
      <c r="B160" s="117">
        <f>IF('CALCULADORA TIPS Pesos N-20'!$F$10="Contractual",ROUND('Tabla de Amortizacion'!B161,8),IF('CALCULADORA TIPS Pesos N-20'!$F$10="6% (Medio)",ROUND('Tabla de Amortizacion'!E161,8),IF('CALCULADORA TIPS Pesos N-20'!$F$10="10% (Medio Alto)",ROUND('Tabla de Amortizacion'!H161,8),IF('CALCULADORA TIPS Pesos N-20'!$F$10="14% (Alto)",ROUND('Tabla de Amortizacion'!K161,8),IF('CALCULADORA TIPS Pesos N-20'!$F$10=20%,ROUND('Tabla de Amortizacion'!N161,8),ROUND('Tabla de Amortizacion'!Q161,8))))))</f>
        <v>0</v>
      </c>
      <c r="C160" s="117">
        <f>IF('CALCULADORA TIPS Pesos N-20'!$F$10="Contractual",ROUND('Tabla de Amortizacion'!C161,8),IF('CALCULADORA TIPS Pesos N-20'!$F$10="6% (Medio)",ROUND('Tabla de Amortizacion'!F161,8),IF('CALCULADORA TIPS Pesos N-20'!$F$10="10% (Medio Alto)",ROUND('Tabla de Amortizacion'!I161,8),IF('CALCULADORA TIPS Pesos N-20'!$F$10="14% (Alto)",ROUND('Tabla de Amortizacion'!L161,8),IF('CALCULADORA TIPS Pesos N-20'!$F$10=20%,ROUND('Tabla de Amortizacion'!O161,8),ROUND('Tabla de Amortizacion'!R161,8))))))</f>
        <v>0</v>
      </c>
    </row>
    <row r="161" spans="1:3" ht="12.75">
      <c r="A161" s="116">
        <f t="shared" si="4"/>
        <v>48614</v>
      </c>
      <c r="B161" s="117">
        <f>IF('CALCULADORA TIPS Pesos N-20'!$F$10="Contractual",ROUND('Tabla de Amortizacion'!B162,8),IF('CALCULADORA TIPS Pesos N-20'!$F$10="6% (Medio)",ROUND('Tabla de Amortizacion'!E162,8),IF('CALCULADORA TIPS Pesos N-20'!$F$10="10% (Medio Alto)",ROUND('Tabla de Amortizacion'!H162,8),IF('CALCULADORA TIPS Pesos N-20'!$F$10="14% (Alto)",ROUND('Tabla de Amortizacion'!K162,8),IF('CALCULADORA TIPS Pesos N-20'!$F$10=20%,ROUND('Tabla de Amortizacion'!N162,8),ROUND('Tabla de Amortizacion'!Q162,8))))))</f>
        <v>0</v>
      </c>
      <c r="C161" s="117">
        <f>IF('CALCULADORA TIPS Pesos N-20'!$F$10="Contractual",ROUND('Tabla de Amortizacion'!C162,8),IF('CALCULADORA TIPS Pesos N-20'!$F$10="6% (Medio)",ROUND('Tabla de Amortizacion'!F162,8),IF('CALCULADORA TIPS Pesos N-20'!$F$10="10% (Medio Alto)",ROUND('Tabla de Amortizacion'!I162,8),IF('CALCULADORA TIPS Pesos N-20'!$F$10="14% (Alto)",ROUND('Tabla de Amortizacion'!L162,8),IF('CALCULADORA TIPS Pesos N-20'!$F$10=20%,ROUND('Tabla de Amortizacion'!O162,8),ROUND('Tabla de Amortizacion'!R162,8))))))</f>
        <v>0</v>
      </c>
    </row>
    <row r="162" spans="1:3" ht="12.75">
      <c r="A162" s="116">
        <f t="shared" si="4"/>
        <v>48642</v>
      </c>
      <c r="B162" s="117">
        <f>IF('CALCULADORA TIPS Pesos N-20'!$F$10="Contractual",ROUND('Tabla de Amortizacion'!B163,8),IF('CALCULADORA TIPS Pesos N-20'!$F$10="6% (Medio)",ROUND('Tabla de Amortizacion'!E163,8),IF('CALCULADORA TIPS Pesos N-20'!$F$10="10% (Medio Alto)",ROUND('Tabla de Amortizacion'!H163,8),IF('CALCULADORA TIPS Pesos N-20'!$F$10="14% (Alto)",ROUND('Tabla de Amortizacion'!K163,8),IF('CALCULADORA TIPS Pesos N-20'!$F$10=20%,ROUND('Tabla de Amortizacion'!N163,8),ROUND('Tabla de Amortizacion'!Q163,8))))))</f>
        <v>0</v>
      </c>
      <c r="C162" s="117">
        <f>IF('CALCULADORA TIPS Pesos N-20'!$F$10="Contractual",ROUND('Tabla de Amortizacion'!C163,8),IF('CALCULADORA TIPS Pesos N-20'!$F$10="6% (Medio)",ROUND('Tabla de Amortizacion'!F163,8),IF('CALCULADORA TIPS Pesos N-20'!$F$10="10% (Medio Alto)",ROUND('Tabla de Amortizacion'!I163,8),IF('CALCULADORA TIPS Pesos N-20'!$F$10="14% (Alto)",ROUND('Tabla de Amortizacion'!L163,8),IF('CALCULADORA TIPS Pesos N-20'!$F$10=20%,ROUND('Tabla de Amortizacion'!O163,8),ROUND('Tabla de Amortizacion'!R163,8))))))</f>
        <v>0</v>
      </c>
    </row>
    <row r="163" spans="1:3" ht="12.75">
      <c r="A163" s="116">
        <f aca="true" t="shared" si="5" ref="A163:A181">_XLL.FECHA.MES(A162,1)</f>
        <v>48673</v>
      </c>
      <c r="B163" s="117">
        <f>IF('CALCULADORA TIPS Pesos N-20'!$F$10="Contractual",ROUND('Tabla de Amortizacion'!B164,8),IF('CALCULADORA TIPS Pesos N-20'!$F$10="6% (Medio)",ROUND('Tabla de Amortizacion'!E164,8),IF('CALCULADORA TIPS Pesos N-20'!$F$10="10% (Medio Alto)",ROUND('Tabla de Amortizacion'!H164,8),IF('CALCULADORA TIPS Pesos N-20'!$F$10="14% (Alto)",ROUND('Tabla de Amortizacion'!K164,8),IF('CALCULADORA TIPS Pesos N-20'!$F$10=20%,ROUND('Tabla de Amortizacion'!N164,8),ROUND('Tabla de Amortizacion'!Q164,8))))))</f>
        <v>0</v>
      </c>
      <c r="C163" s="117">
        <f>IF('CALCULADORA TIPS Pesos N-20'!$F$10="Contractual",ROUND('Tabla de Amortizacion'!C164,8),IF('CALCULADORA TIPS Pesos N-20'!$F$10="6% (Medio)",ROUND('Tabla de Amortizacion'!F164,8),IF('CALCULADORA TIPS Pesos N-20'!$F$10="10% (Medio Alto)",ROUND('Tabla de Amortizacion'!I164,8),IF('CALCULADORA TIPS Pesos N-20'!$F$10="14% (Alto)",ROUND('Tabla de Amortizacion'!L164,8),IF('CALCULADORA TIPS Pesos N-20'!$F$10=20%,ROUND('Tabla de Amortizacion'!O164,8),ROUND('Tabla de Amortizacion'!R164,8))))))</f>
        <v>0</v>
      </c>
    </row>
    <row r="164" spans="1:3" ht="12.75">
      <c r="A164" s="116">
        <f t="shared" si="5"/>
        <v>48703</v>
      </c>
      <c r="B164" s="117">
        <f>IF('CALCULADORA TIPS Pesos N-20'!$F$10="Contractual",ROUND('Tabla de Amortizacion'!B165,8),IF('CALCULADORA TIPS Pesos N-20'!$F$10="6% (Medio)",ROUND('Tabla de Amortizacion'!E165,8),IF('CALCULADORA TIPS Pesos N-20'!$F$10="10% (Medio Alto)",ROUND('Tabla de Amortizacion'!H165,8),IF('CALCULADORA TIPS Pesos N-20'!$F$10="14% (Alto)",ROUND('Tabla de Amortizacion'!K165,8),IF('CALCULADORA TIPS Pesos N-20'!$F$10=20%,ROUND('Tabla de Amortizacion'!N165,8),ROUND('Tabla de Amortizacion'!Q165,8))))))</f>
        <v>0</v>
      </c>
      <c r="C164" s="117">
        <f>IF('CALCULADORA TIPS Pesos N-20'!$F$10="Contractual",ROUND('Tabla de Amortizacion'!C165,8),IF('CALCULADORA TIPS Pesos N-20'!$F$10="6% (Medio)",ROUND('Tabla de Amortizacion'!F165,8),IF('CALCULADORA TIPS Pesos N-20'!$F$10="10% (Medio Alto)",ROUND('Tabla de Amortizacion'!I165,8),IF('CALCULADORA TIPS Pesos N-20'!$F$10="14% (Alto)",ROUND('Tabla de Amortizacion'!L165,8),IF('CALCULADORA TIPS Pesos N-20'!$F$10=20%,ROUND('Tabla de Amortizacion'!O165,8),ROUND('Tabla de Amortizacion'!R165,8))))))</f>
        <v>0</v>
      </c>
    </row>
    <row r="165" spans="1:3" ht="12.75">
      <c r="A165" s="116">
        <f t="shared" si="5"/>
        <v>48734</v>
      </c>
      <c r="B165" s="117">
        <f>IF('CALCULADORA TIPS Pesos N-20'!$F$10="Contractual",ROUND('Tabla de Amortizacion'!B166,8),IF('CALCULADORA TIPS Pesos N-20'!$F$10="6% (Medio)",ROUND('Tabla de Amortizacion'!E166,8),IF('CALCULADORA TIPS Pesos N-20'!$F$10="10% (Medio Alto)",ROUND('Tabla de Amortizacion'!H166,8),IF('CALCULADORA TIPS Pesos N-20'!$F$10="14% (Alto)",ROUND('Tabla de Amortizacion'!K166,8),IF('CALCULADORA TIPS Pesos N-20'!$F$10=20%,ROUND('Tabla de Amortizacion'!N166,8),ROUND('Tabla de Amortizacion'!Q166,8))))))</f>
        <v>0</v>
      </c>
      <c r="C165" s="117">
        <f>IF('CALCULADORA TIPS Pesos N-20'!$F$10="Contractual",ROUND('Tabla de Amortizacion'!C166,8),IF('CALCULADORA TIPS Pesos N-20'!$F$10="6% (Medio)",ROUND('Tabla de Amortizacion'!F166,8),IF('CALCULADORA TIPS Pesos N-20'!$F$10="10% (Medio Alto)",ROUND('Tabla de Amortizacion'!I166,8),IF('CALCULADORA TIPS Pesos N-20'!$F$10="14% (Alto)",ROUND('Tabla de Amortizacion'!L166,8),IF('CALCULADORA TIPS Pesos N-20'!$F$10=20%,ROUND('Tabla de Amortizacion'!O166,8),ROUND('Tabla de Amortizacion'!R166,8))))))</f>
        <v>0</v>
      </c>
    </row>
    <row r="166" spans="1:3" ht="12.75">
      <c r="A166" s="116">
        <f t="shared" si="5"/>
        <v>48764</v>
      </c>
      <c r="B166" s="117">
        <f>IF('CALCULADORA TIPS Pesos N-20'!$F$10="Contractual",ROUND('Tabla de Amortizacion'!B167,8),IF('CALCULADORA TIPS Pesos N-20'!$F$10="6% (Medio)",ROUND('Tabla de Amortizacion'!E167,8),IF('CALCULADORA TIPS Pesos N-20'!$F$10="10% (Medio Alto)",ROUND('Tabla de Amortizacion'!H167,8),IF('CALCULADORA TIPS Pesos N-20'!$F$10="14% (Alto)",ROUND('Tabla de Amortizacion'!K167,8),IF('CALCULADORA TIPS Pesos N-20'!$F$10=20%,ROUND('Tabla de Amortizacion'!N167,8),ROUND('Tabla de Amortizacion'!Q167,8))))))</f>
        <v>0</v>
      </c>
      <c r="C166" s="117">
        <f>IF('CALCULADORA TIPS Pesos N-20'!$F$10="Contractual",ROUND('Tabla de Amortizacion'!C167,8),IF('CALCULADORA TIPS Pesos N-20'!$F$10="6% (Medio)",ROUND('Tabla de Amortizacion'!F167,8),IF('CALCULADORA TIPS Pesos N-20'!$F$10="10% (Medio Alto)",ROUND('Tabla de Amortizacion'!I167,8),IF('CALCULADORA TIPS Pesos N-20'!$F$10="14% (Alto)",ROUND('Tabla de Amortizacion'!L167,8),IF('CALCULADORA TIPS Pesos N-20'!$F$10=20%,ROUND('Tabla de Amortizacion'!O167,8),ROUND('Tabla de Amortizacion'!R167,8))))))</f>
        <v>0</v>
      </c>
    </row>
    <row r="167" spans="1:3" ht="12.75">
      <c r="A167" s="116">
        <f t="shared" si="5"/>
        <v>48795</v>
      </c>
      <c r="B167" s="117">
        <f>IF('CALCULADORA TIPS Pesos N-20'!$F$10="Contractual",ROUND('Tabla de Amortizacion'!B168,8),IF('CALCULADORA TIPS Pesos N-20'!$F$10="6% (Medio)",ROUND('Tabla de Amortizacion'!E168,8),IF('CALCULADORA TIPS Pesos N-20'!$F$10="10% (Medio Alto)",ROUND('Tabla de Amortizacion'!H168,8),IF('CALCULADORA TIPS Pesos N-20'!$F$10="14% (Alto)",ROUND('Tabla de Amortizacion'!K168,8),IF('CALCULADORA TIPS Pesos N-20'!$F$10=20%,ROUND('Tabla de Amortizacion'!N168,8),ROUND('Tabla de Amortizacion'!Q168,8))))))</f>
        <v>0</v>
      </c>
      <c r="C167" s="117">
        <f>IF('CALCULADORA TIPS Pesos N-20'!$F$10="Contractual",ROUND('Tabla de Amortizacion'!C168,8),IF('CALCULADORA TIPS Pesos N-20'!$F$10="6% (Medio)",ROUND('Tabla de Amortizacion'!F168,8),IF('CALCULADORA TIPS Pesos N-20'!$F$10="10% (Medio Alto)",ROUND('Tabla de Amortizacion'!I168,8),IF('CALCULADORA TIPS Pesos N-20'!$F$10="14% (Alto)",ROUND('Tabla de Amortizacion'!L168,8),IF('CALCULADORA TIPS Pesos N-20'!$F$10=20%,ROUND('Tabla de Amortizacion'!O168,8),ROUND('Tabla de Amortizacion'!R168,8))))))</f>
        <v>0</v>
      </c>
    </row>
    <row r="168" spans="1:3" ht="12.75">
      <c r="A168" s="116">
        <f t="shared" si="5"/>
        <v>48826</v>
      </c>
      <c r="B168" s="117">
        <f>IF('CALCULADORA TIPS Pesos N-20'!$F$10="Contractual",ROUND('Tabla de Amortizacion'!B169,8),IF('CALCULADORA TIPS Pesos N-20'!$F$10="6% (Medio)",ROUND('Tabla de Amortizacion'!E169,8),IF('CALCULADORA TIPS Pesos N-20'!$F$10="10% (Medio Alto)",ROUND('Tabla de Amortizacion'!H169,8),IF('CALCULADORA TIPS Pesos N-20'!$F$10="14% (Alto)",ROUND('Tabla de Amortizacion'!K169,8),IF('CALCULADORA TIPS Pesos N-20'!$F$10=20%,ROUND('Tabla de Amortizacion'!N169,8),ROUND('Tabla de Amortizacion'!Q169,8))))))</f>
        <v>0</v>
      </c>
      <c r="C168" s="117">
        <f>IF('CALCULADORA TIPS Pesos N-20'!$F$10="Contractual",ROUND('Tabla de Amortizacion'!C169,8),IF('CALCULADORA TIPS Pesos N-20'!$F$10="6% (Medio)",ROUND('Tabla de Amortizacion'!F169,8),IF('CALCULADORA TIPS Pesos N-20'!$F$10="10% (Medio Alto)",ROUND('Tabla de Amortizacion'!I169,8),IF('CALCULADORA TIPS Pesos N-20'!$F$10="14% (Alto)",ROUND('Tabla de Amortizacion'!L169,8),IF('CALCULADORA TIPS Pesos N-20'!$F$10=20%,ROUND('Tabla de Amortizacion'!O169,8),ROUND('Tabla de Amortizacion'!R169,8))))))</f>
        <v>0</v>
      </c>
    </row>
    <row r="169" spans="1:3" ht="12.75">
      <c r="A169" s="116">
        <f t="shared" si="5"/>
        <v>48856</v>
      </c>
      <c r="B169" s="117">
        <f>IF('CALCULADORA TIPS Pesos N-20'!$F$10="Contractual",ROUND('Tabla de Amortizacion'!B170,8),IF('CALCULADORA TIPS Pesos N-20'!$F$10="6% (Medio)",ROUND('Tabla de Amortizacion'!E170,8),IF('CALCULADORA TIPS Pesos N-20'!$F$10="10% (Medio Alto)",ROUND('Tabla de Amortizacion'!H170,8),IF('CALCULADORA TIPS Pesos N-20'!$F$10="14% (Alto)",ROUND('Tabla de Amortizacion'!K170,8),IF('CALCULADORA TIPS Pesos N-20'!$F$10=20%,ROUND('Tabla de Amortizacion'!N170,8),ROUND('Tabla de Amortizacion'!Q170,8))))))</f>
        <v>0</v>
      </c>
      <c r="C169" s="117">
        <f>IF('CALCULADORA TIPS Pesos N-20'!$F$10="Contractual",ROUND('Tabla de Amortizacion'!C170,8),IF('CALCULADORA TIPS Pesos N-20'!$F$10="6% (Medio)",ROUND('Tabla de Amortizacion'!F170,8),IF('CALCULADORA TIPS Pesos N-20'!$F$10="10% (Medio Alto)",ROUND('Tabla de Amortizacion'!I170,8),IF('CALCULADORA TIPS Pesos N-20'!$F$10="14% (Alto)",ROUND('Tabla de Amortizacion'!L170,8),IF('CALCULADORA TIPS Pesos N-20'!$F$10=20%,ROUND('Tabla de Amortizacion'!O170,8),ROUND('Tabla de Amortizacion'!R170,8))))))</f>
        <v>0</v>
      </c>
    </row>
    <row r="170" spans="1:3" ht="12.75">
      <c r="A170" s="116">
        <f t="shared" si="5"/>
        <v>48887</v>
      </c>
      <c r="B170" s="117">
        <f>IF('CALCULADORA TIPS Pesos N-20'!$F$10="Contractual",ROUND('Tabla de Amortizacion'!B171,8),IF('CALCULADORA TIPS Pesos N-20'!$F$10="6% (Medio)",ROUND('Tabla de Amortizacion'!E171,8),IF('CALCULADORA TIPS Pesos N-20'!$F$10="10% (Medio Alto)",ROUND('Tabla de Amortizacion'!H171,8),IF('CALCULADORA TIPS Pesos N-20'!$F$10="14% (Alto)",ROUND('Tabla de Amortizacion'!K171,8),IF('CALCULADORA TIPS Pesos N-20'!$F$10=20%,ROUND('Tabla de Amortizacion'!N171,8),ROUND('Tabla de Amortizacion'!Q171,8))))))</f>
        <v>0</v>
      </c>
      <c r="C170" s="117">
        <f>IF('CALCULADORA TIPS Pesos N-20'!$F$10="Contractual",ROUND('Tabla de Amortizacion'!C171,8),IF('CALCULADORA TIPS Pesos N-20'!$F$10="6% (Medio)",ROUND('Tabla de Amortizacion'!F171,8),IF('CALCULADORA TIPS Pesos N-20'!$F$10="10% (Medio Alto)",ROUND('Tabla de Amortizacion'!I171,8),IF('CALCULADORA TIPS Pesos N-20'!$F$10="14% (Alto)",ROUND('Tabla de Amortizacion'!L171,8),IF('CALCULADORA TIPS Pesos N-20'!$F$10=20%,ROUND('Tabla de Amortizacion'!O171,8),ROUND('Tabla de Amortizacion'!R171,8))))))</f>
        <v>0</v>
      </c>
    </row>
    <row r="171" spans="1:3" ht="12.75">
      <c r="A171" s="116">
        <f t="shared" si="5"/>
        <v>48917</v>
      </c>
      <c r="B171" s="117">
        <f>IF('CALCULADORA TIPS Pesos N-20'!$F$10="Contractual",ROUND('Tabla de Amortizacion'!B172,8),IF('CALCULADORA TIPS Pesos N-20'!$F$10="6% (Medio)",ROUND('Tabla de Amortizacion'!E172,8),IF('CALCULADORA TIPS Pesos N-20'!$F$10="10% (Medio Alto)",ROUND('Tabla de Amortizacion'!H172,8),IF('CALCULADORA TIPS Pesos N-20'!$F$10="14% (Alto)",ROUND('Tabla de Amortizacion'!K172,8),IF('CALCULADORA TIPS Pesos N-20'!$F$10=20%,ROUND('Tabla de Amortizacion'!N172,8),ROUND('Tabla de Amortizacion'!Q172,8))))))</f>
        <v>0</v>
      </c>
      <c r="C171" s="117">
        <f>IF('CALCULADORA TIPS Pesos N-20'!$F$10="Contractual",ROUND('Tabla de Amortizacion'!C172,8),IF('CALCULADORA TIPS Pesos N-20'!$F$10="6% (Medio)",ROUND('Tabla de Amortizacion'!F172,8),IF('CALCULADORA TIPS Pesos N-20'!$F$10="10% (Medio Alto)",ROUND('Tabla de Amortizacion'!I172,8),IF('CALCULADORA TIPS Pesos N-20'!$F$10="14% (Alto)",ROUND('Tabla de Amortizacion'!L172,8),IF('CALCULADORA TIPS Pesos N-20'!$F$10=20%,ROUND('Tabla de Amortizacion'!O172,8),ROUND('Tabla de Amortizacion'!R172,8))))))</f>
        <v>0</v>
      </c>
    </row>
    <row r="172" spans="1:3" ht="12.75">
      <c r="A172" s="116">
        <f t="shared" si="5"/>
        <v>48948</v>
      </c>
      <c r="B172" s="117">
        <f>IF('CALCULADORA TIPS Pesos N-20'!$F$10="Contractual",ROUND('Tabla de Amortizacion'!B173,8),IF('CALCULADORA TIPS Pesos N-20'!$F$10="6% (Medio)",ROUND('Tabla de Amortizacion'!E173,8),IF('CALCULADORA TIPS Pesos N-20'!$F$10="10% (Medio Alto)",ROUND('Tabla de Amortizacion'!H173,8),IF('CALCULADORA TIPS Pesos N-20'!$F$10="14% (Alto)",ROUND('Tabla de Amortizacion'!K173,8),IF('CALCULADORA TIPS Pesos N-20'!$F$10=20%,ROUND('Tabla de Amortizacion'!N173,8),ROUND('Tabla de Amortizacion'!Q173,8))))))</f>
        <v>0</v>
      </c>
      <c r="C172" s="117">
        <f>IF('CALCULADORA TIPS Pesos N-20'!$F$10="Contractual",ROUND('Tabla de Amortizacion'!C173,8),IF('CALCULADORA TIPS Pesos N-20'!$F$10="6% (Medio)",ROUND('Tabla de Amortizacion'!F173,8),IF('CALCULADORA TIPS Pesos N-20'!$F$10="10% (Medio Alto)",ROUND('Tabla de Amortizacion'!I173,8),IF('CALCULADORA TIPS Pesos N-20'!$F$10="14% (Alto)",ROUND('Tabla de Amortizacion'!L173,8),IF('CALCULADORA TIPS Pesos N-20'!$F$10=20%,ROUND('Tabla de Amortizacion'!O173,8),ROUND('Tabla de Amortizacion'!R173,8))))))</f>
        <v>0</v>
      </c>
    </row>
    <row r="173" spans="1:3" ht="12.75">
      <c r="A173" s="116">
        <f t="shared" si="5"/>
        <v>48979</v>
      </c>
      <c r="B173" s="117">
        <f>IF('CALCULADORA TIPS Pesos N-20'!$F$10="Contractual",ROUND('Tabla de Amortizacion'!B174,8),IF('CALCULADORA TIPS Pesos N-20'!$F$10="6% (Medio)",ROUND('Tabla de Amortizacion'!E174,8),IF('CALCULADORA TIPS Pesos N-20'!$F$10="10% (Medio Alto)",ROUND('Tabla de Amortizacion'!H174,8),IF('CALCULADORA TIPS Pesos N-20'!$F$10="14% (Alto)",ROUND('Tabla de Amortizacion'!K174,8),IF('CALCULADORA TIPS Pesos N-20'!$F$10=20%,ROUND('Tabla de Amortizacion'!N174,8),ROUND('Tabla de Amortizacion'!Q174,8))))))</f>
        <v>0</v>
      </c>
      <c r="C173" s="117">
        <f>IF('CALCULADORA TIPS Pesos N-20'!$F$10="Contractual",ROUND('Tabla de Amortizacion'!C174,8),IF('CALCULADORA TIPS Pesos N-20'!$F$10="6% (Medio)",ROUND('Tabla de Amortizacion'!F174,8),IF('CALCULADORA TIPS Pesos N-20'!$F$10="10% (Medio Alto)",ROUND('Tabla de Amortizacion'!I174,8),IF('CALCULADORA TIPS Pesos N-20'!$F$10="14% (Alto)",ROUND('Tabla de Amortizacion'!L174,8),IF('CALCULADORA TIPS Pesos N-20'!$F$10=20%,ROUND('Tabla de Amortizacion'!O174,8),ROUND('Tabla de Amortizacion'!R174,8))))))</f>
        <v>0</v>
      </c>
    </row>
    <row r="174" spans="1:3" ht="12.75">
      <c r="A174" s="116">
        <f t="shared" si="5"/>
        <v>49007</v>
      </c>
      <c r="B174" s="117">
        <f>IF('CALCULADORA TIPS Pesos N-20'!$F$10="Contractual",ROUND('Tabla de Amortizacion'!B175,8),IF('CALCULADORA TIPS Pesos N-20'!$F$10="6% (Medio)",ROUND('Tabla de Amortizacion'!E175,8),IF('CALCULADORA TIPS Pesos N-20'!$F$10="10% (Medio Alto)",ROUND('Tabla de Amortizacion'!H175,8),IF('CALCULADORA TIPS Pesos N-20'!$F$10="14% (Alto)",ROUND('Tabla de Amortizacion'!K175,8),IF('CALCULADORA TIPS Pesos N-20'!$F$10=20%,ROUND('Tabla de Amortizacion'!N175,8),ROUND('Tabla de Amortizacion'!Q175,8))))))</f>
        <v>0</v>
      </c>
      <c r="C174" s="117">
        <f>IF('CALCULADORA TIPS Pesos N-20'!$F$10="Contractual",ROUND('Tabla de Amortizacion'!C175,8),IF('CALCULADORA TIPS Pesos N-20'!$F$10="6% (Medio)",ROUND('Tabla de Amortizacion'!F175,8),IF('CALCULADORA TIPS Pesos N-20'!$F$10="10% (Medio Alto)",ROUND('Tabla de Amortizacion'!I175,8),IF('CALCULADORA TIPS Pesos N-20'!$F$10="14% (Alto)",ROUND('Tabla de Amortizacion'!L175,8),IF('CALCULADORA TIPS Pesos N-20'!$F$10=20%,ROUND('Tabla de Amortizacion'!O175,8),ROUND('Tabla de Amortizacion'!R175,8))))))</f>
        <v>0</v>
      </c>
    </row>
    <row r="175" spans="1:3" ht="12.75">
      <c r="A175" s="116">
        <f t="shared" si="5"/>
        <v>49038</v>
      </c>
      <c r="B175" s="117">
        <f>IF('CALCULADORA TIPS Pesos N-20'!$F$10="Contractual",ROUND('Tabla de Amortizacion'!B176,8),IF('CALCULADORA TIPS Pesos N-20'!$F$10="6% (Medio)",ROUND('Tabla de Amortizacion'!E176,8),IF('CALCULADORA TIPS Pesos N-20'!$F$10="10% (Medio Alto)",ROUND('Tabla de Amortizacion'!H176,8),IF('CALCULADORA TIPS Pesos N-20'!$F$10="14% (Alto)",ROUND('Tabla de Amortizacion'!K176,8),IF('CALCULADORA TIPS Pesos N-20'!$F$10=20%,ROUND('Tabla de Amortizacion'!N176,8),ROUND('Tabla de Amortizacion'!Q176,8))))))</f>
        <v>0</v>
      </c>
      <c r="C175" s="117">
        <f>IF('CALCULADORA TIPS Pesos N-20'!$F$10="Contractual",ROUND('Tabla de Amortizacion'!C176,8),IF('CALCULADORA TIPS Pesos N-20'!$F$10="6% (Medio)",ROUND('Tabla de Amortizacion'!F176,8),IF('CALCULADORA TIPS Pesos N-20'!$F$10="10% (Medio Alto)",ROUND('Tabla de Amortizacion'!I176,8),IF('CALCULADORA TIPS Pesos N-20'!$F$10="14% (Alto)",ROUND('Tabla de Amortizacion'!L176,8),IF('CALCULADORA TIPS Pesos N-20'!$F$10=20%,ROUND('Tabla de Amortizacion'!O176,8),ROUND('Tabla de Amortizacion'!R176,8))))))</f>
        <v>0</v>
      </c>
    </row>
    <row r="176" spans="1:3" ht="12.75">
      <c r="A176" s="116">
        <f t="shared" si="5"/>
        <v>49068</v>
      </c>
      <c r="B176" s="117">
        <f>IF('CALCULADORA TIPS Pesos N-20'!$F$10="Contractual",ROUND('Tabla de Amortizacion'!B177,8),IF('CALCULADORA TIPS Pesos N-20'!$F$10="6% (Medio)",ROUND('Tabla de Amortizacion'!E177,8),IF('CALCULADORA TIPS Pesos N-20'!$F$10="10% (Medio Alto)",ROUND('Tabla de Amortizacion'!H177,8),IF('CALCULADORA TIPS Pesos N-20'!$F$10="14% (Alto)",ROUND('Tabla de Amortizacion'!K177,8),IF('CALCULADORA TIPS Pesos N-20'!$F$10=20%,ROUND('Tabla de Amortizacion'!N177,8),ROUND('Tabla de Amortizacion'!Q177,8))))))</f>
        <v>0</v>
      </c>
      <c r="C176" s="117">
        <f>IF('CALCULADORA TIPS Pesos N-20'!$F$10="Contractual",ROUND('Tabla de Amortizacion'!C177,8),IF('CALCULADORA TIPS Pesos N-20'!$F$10="6% (Medio)",ROUND('Tabla de Amortizacion'!F177,8),IF('CALCULADORA TIPS Pesos N-20'!$F$10="10% (Medio Alto)",ROUND('Tabla de Amortizacion'!I177,8),IF('CALCULADORA TIPS Pesos N-20'!$F$10="14% (Alto)",ROUND('Tabla de Amortizacion'!L177,8),IF('CALCULADORA TIPS Pesos N-20'!$F$10=20%,ROUND('Tabla de Amortizacion'!O177,8),ROUND('Tabla de Amortizacion'!R177,8))))))</f>
        <v>0</v>
      </c>
    </row>
    <row r="177" spans="1:3" ht="12.75">
      <c r="A177" s="116">
        <f t="shared" si="5"/>
        <v>49099</v>
      </c>
      <c r="B177" s="117">
        <f>IF('CALCULADORA TIPS Pesos N-20'!$F$10="Contractual",ROUND('Tabla de Amortizacion'!B178,8),IF('CALCULADORA TIPS Pesos N-20'!$F$10="6% (Medio)",ROUND('Tabla de Amortizacion'!E178,8),IF('CALCULADORA TIPS Pesos N-20'!$F$10="10% (Medio Alto)",ROUND('Tabla de Amortizacion'!H178,8),IF('CALCULADORA TIPS Pesos N-20'!$F$10="14% (Alto)",ROUND('Tabla de Amortizacion'!K178,8),IF('CALCULADORA TIPS Pesos N-20'!$F$10=20%,ROUND('Tabla de Amortizacion'!N178,8),ROUND('Tabla de Amortizacion'!Q178,8))))))</f>
        <v>0</v>
      </c>
      <c r="C177" s="117">
        <f>IF('CALCULADORA TIPS Pesos N-20'!$F$10="Contractual",ROUND('Tabla de Amortizacion'!C178,8),IF('CALCULADORA TIPS Pesos N-20'!$F$10="6% (Medio)",ROUND('Tabla de Amortizacion'!F178,8),IF('CALCULADORA TIPS Pesos N-20'!$F$10="10% (Medio Alto)",ROUND('Tabla de Amortizacion'!I178,8),IF('CALCULADORA TIPS Pesos N-20'!$F$10="14% (Alto)",ROUND('Tabla de Amortizacion'!L178,8),IF('CALCULADORA TIPS Pesos N-20'!$F$10=20%,ROUND('Tabla de Amortizacion'!O178,8),ROUND('Tabla de Amortizacion'!R178,8))))))</f>
        <v>0</v>
      </c>
    </row>
    <row r="178" spans="1:3" ht="12.75">
      <c r="A178" s="116">
        <f t="shared" si="5"/>
        <v>49129</v>
      </c>
      <c r="B178" s="117">
        <f>IF('CALCULADORA TIPS Pesos N-20'!$F$10="Contractual",ROUND('Tabla de Amortizacion'!B179,8),IF('CALCULADORA TIPS Pesos N-20'!$F$10="6% (Medio)",ROUND('Tabla de Amortizacion'!E179,8),IF('CALCULADORA TIPS Pesos N-20'!$F$10="10% (Medio Alto)",ROUND('Tabla de Amortizacion'!H179,8),IF('CALCULADORA TIPS Pesos N-20'!$F$10="14% (Alto)",ROUND('Tabla de Amortizacion'!K179,8),IF('CALCULADORA TIPS Pesos N-20'!$F$10=20%,ROUND('Tabla de Amortizacion'!N179,8),ROUND('Tabla de Amortizacion'!Q179,8))))))</f>
        <v>0</v>
      </c>
      <c r="C178" s="117">
        <f>IF('CALCULADORA TIPS Pesos N-20'!$F$10="Contractual",ROUND('Tabla de Amortizacion'!C179,8),IF('CALCULADORA TIPS Pesos N-20'!$F$10="6% (Medio)",ROUND('Tabla de Amortizacion'!F179,8),IF('CALCULADORA TIPS Pesos N-20'!$F$10="10% (Medio Alto)",ROUND('Tabla de Amortizacion'!I179,8),IF('CALCULADORA TIPS Pesos N-20'!$F$10="14% (Alto)",ROUND('Tabla de Amortizacion'!L179,8),IF('CALCULADORA TIPS Pesos N-20'!$F$10=20%,ROUND('Tabla de Amortizacion'!O179,8),ROUND('Tabla de Amortizacion'!R179,8))))))</f>
        <v>0</v>
      </c>
    </row>
    <row r="179" spans="1:3" ht="12.75">
      <c r="A179" s="116">
        <f t="shared" si="5"/>
        <v>49160</v>
      </c>
      <c r="B179" s="117">
        <f>IF('CALCULADORA TIPS Pesos N-20'!$F$10="Contractual",ROUND('Tabla de Amortizacion'!B180,8),IF('CALCULADORA TIPS Pesos N-20'!$F$10="6% (Medio)",ROUND('Tabla de Amortizacion'!E180,8),IF('CALCULADORA TIPS Pesos N-20'!$F$10="10% (Medio Alto)",ROUND('Tabla de Amortizacion'!H180,8),IF('CALCULADORA TIPS Pesos N-20'!$F$10="14% (Alto)",ROUND('Tabla de Amortizacion'!K180,8),IF('CALCULADORA TIPS Pesos N-20'!$F$10=20%,ROUND('Tabla de Amortizacion'!N180,8),ROUND('Tabla de Amortizacion'!Q180,8))))))</f>
        <v>0</v>
      </c>
      <c r="C179" s="117">
        <f>IF('CALCULADORA TIPS Pesos N-20'!$F$10="Contractual",ROUND('Tabla de Amortizacion'!C180,8),IF('CALCULADORA TIPS Pesos N-20'!$F$10="6% (Medio)",ROUND('Tabla de Amortizacion'!F180,8),IF('CALCULADORA TIPS Pesos N-20'!$F$10="10% (Medio Alto)",ROUND('Tabla de Amortizacion'!I180,8),IF('CALCULADORA TIPS Pesos N-20'!$F$10="14% (Alto)",ROUND('Tabla de Amortizacion'!L180,8),IF('CALCULADORA TIPS Pesos N-20'!$F$10=20%,ROUND('Tabla de Amortizacion'!O180,8),ROUND('Tabla de Amortizacion'!R180,8))))))</f>
        <v>0</v>
      </c>
    </row>
    <row r="180" spans="1:3" ht="12.75">
      <c r="A180" s="116">
        <f t="shared" si="5"/>
        <v>49191</v>
      </c>
      <c r="B180" s="117">
        <f>IF('CALCULADORA TIPS Pesos N-20'!$F$10="Contractual",ROUND('Tabla de Amortizacion'!B181,8),IF('CALCULADORA TIPS Pesos N-20'!$F$10="6% (Medio)",ROUND('Tabla de Amortizacion'!E181,8),IF('CALCULADORA TIPS Pesos N-20'!$F$10="10% (Medio Alto)",ROUND('Tabla de Amortizacion'!H181,8),IF('CALCULADORA TIPS Pesos N-20'!$F$10="14% (Alto)",ROUND('Tabla de Amortizacion'!K181,8),IF('CALCULADORA TIPS Pesos N-20'!$F$10=20%,ROUND('Tabla de Amortizacion'!N181,8),ROUND('Tabla de Amortizacion'!Q181,8))))))</f>
        <v>0</v>
      </c>
      <c r="C180" s="117">
        <f>IF('CALCULADORA TIPS Pesos N-20'!$F$10="Contractual",ROUND('Tabla de Amortizacion'!C181,8),IF('CALCULADORA TIPS Pesos N-20'!$F$10="6% (Medio)",ROUND('Tabla de Amortizacion'!F181,8),IF('CALCULADORA TIPS Pesos N-20'!$F$10="10% (Medio Alto)",ROUND('Tabla de Amortizacion'!I181,8),IF('CALCULADORA TIPS Pesos N-20'!$F$10="14% (Alto)",ROUND('Tabla de Amortizacion'!L181,8),IF('CALCULADORA TIPS Pesos N-20'!$F$10=20%,ROUND('Tabla de Amortizacion'!O181,8),ROUND('Tabla de Amortizacion'!R181,8))))))</f>
        <v>0</v>
      </c>
    </row>
    <row r="181" spans="1:3" ht="13.5" thickBot="1">
      <c r="A181" s="118">
        <f t="shared" si="5"/>
        <v>49221</v>
      </c>
      <c r="B181" s="119">
        <f>IF('CALCULADORA TIPS Pesos N-20'!$F$10="Contractual",ROUND('Tabla de Amortizacion'!B182,8),IF('CALCULADORA TIPS Pesos N-20'!$F$10="6% (Medio)",ROUND('Tabla de Amortizacion'!E182,8),IF('CALCULADORA TIPS Pesos N-20'!$F$10="10% (Medio Alto)",ROUND('Tabla de Amortizacion'!H182,8),IF('CALCULADORA TIPS Pesos N-20'!$F$10="14% (Alto)",ROUND('Tabla de Amortizacion'!K182,8),IF('CALCULADORA TIPS Pesos N-20'!$F$10=20%,ROUND('Tabla de Amortizacion'!N182,8),ROUND('Tabla de Amortizacion'!Q182,8))))))</f>
        <v>0</v>
      </c>
      <c r="C181" s="119">
        <f>IF('CALCULADORA TIPS Pesos N-20'!$F$10="Contractual",ROUND('Tabla de Amortizacion'!C182,8),IF('CALCULADORA TIPS Pesos N-20'!$F$10="6% (Medio)",ROUND('Tabla de Amortizacion'!F182,8),IF('CALCULADORA TIPS Pesos N-20'!$F$10="10% (Medio Alto)",ROUND('Tabla de Amortizacion'!I182,8),IF('CALCULADORA TIPS Pesos N-20'!$F$10="14% (Alto)",ROUND('Tabla de Amortizacion'!L182,8),IF('CALCULADORA TIPS Pesos N-20'!$F$10=20%,ROUND('Tabla de Amortizacion'!O182,8),ROUND('Tabla de Amortizacion'!R182,8))))))</f>
        <v>0</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Dani Alejandro Munetones</cp:lastModifiedBy>
  <cp:lastPrinted>2008-01-08T21:41:33Z</cp:lastPrinted>
  <dcterms:created xsi:type="dcterms:W3CDTF">2002-04-18T20:31:17Z</dcterms:created>
  <dcterms:modified xsi:type="dcterms:W3CDTF">2022-08-03T20:30:25Z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